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fileSharing readOnlyRecommended="1"/>
  <workbookPr defaultThemeVersion="124226"/>
  <mc:AlternateContent xmlns:mc="http://schemas.openxmlformats.org/markup-compatibility/2006">
    <mc:Choice Requires="x15">
      <x15ac:absPath xmlns:x15ac="http://schemas.microsoft.com/office/spreadsheetml/2010/11/ac" url="H:\Lmd\ADMINISTRATION\Jessica\Fees\"/>
    </mc:Choice>
  </mc:AlternateContent>
  <xr:revisionPtr revIDLastSave="0" documentId="8_{27E9E0B9-0176-437B-A310-6140A88E05BE}" xr6:coauthVersionLast="47" xr6:coauthVersionMax="47" xr10:uidLastSave="{00000000-0000-0000-0000-000000000000}"/>
  <workbookProtection workbookPassword="ECAD" lockStructure="1"/>
  <bookViews>
    <workbookView xWindow="19125" yWindow="720" windowWidth="27795" windowHeight="18720" tabRatio="822" xr2:uid="{00000000-000D-0000-FFFF-FFFF00000000}"/>
  </bookViews>
  <sheets>
    <sheet name="TOTAL FEES" sheetId="1" r:id="rId1"/>
    <sheet name="STRUCTURAL" sheetId="2" r:id="rId2"/>
    <sheet name="MECHANICAL" sheetId="3" r:id="rId3"/>
    <sheet name="PLUMBING" sheetId="4" r:id="rId4"/>
    <sheet name="ELECTRICAL" sheetId="5" r:id="rId5"/>
    <sheet name="SANITATION" sheetId="6" r:id="rId6"/>
    <sheet name="LAND USE REVIEW" sheetId="7" r:id="rId7"/>
    <sheet name="CONST. EXCISE TAX" sheetId="8" r:id="rId8"/>
    <sheet name="Formula Dat" sheetId="9" state="hidden" r:id="rId9"/>
    <sheet name="Formula Data" sheetId="10" r:id="rId10"/>
  </sheets>
  <definedNames>
    <definedName name="CET_Districts">'Formula Dat'!$C$40:$C$49</definedName>
    <definedName name="CETDistricts">'Formula Dat'!$C$40:$C$49</definedName>
    <definedName name="ConstructionTypes">'Formula Dat'!#REF!</definedName>
    <definedName name="ConstTypes">'Formula Dat'!$D$5:$L$5</definedName>
    <definedName name="_xlnm.Print_Area" localSheetId="1">STRUCTURAL!$B$3:$J$22</definedName>
    <definedName name="_xlnm.Print_Area" localSheetId="0">'TOTAL FEES'!$B$3:$C$32</definedName>
    <definedName name="SETDistricts">'Formula Dat'!$C$40:$C$49</definedName>
    <definedName name="Text66" localSheetId="2">MECHANICAL!$C$18</definedName>
    <definedName name="UseDesignations">'Formula Dat'!$C$6:$C$33</definedName>
    <definedName name="YesNo">'Formula Dat'!$C$36:$C$37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3" i="3" l="1"/>
  <c r="C22" i="1"/>
  <c r="F46" i="10"/>
  <c r="F40" i="10"/>
  <c r="D16" i="8"/>
  <c r="D12" i="8"/>
  <c r="F10" i="2"/>
  <c r="J10" i="2" s="1"/>
  <c r="E18" i="7"/>
  <c r="E20" i="6" l="1"/>
  <c r="E14" i="6"/>
  <c r="E33" i="4" l="1"/>
  <c r="E32" i="4"/>
  <c r="E44" i="3"/>
  <c r="E42" i="5"/>
  <c r="E35" i="5"/>
  <c r="E36" i="5"/>
  <c r="E34" i="5"/>
  <c r="E33" i="5"/>
  <c r="E32" i="5"/>
  <c r="E31" i="5"/>
  <c r="E30" i="5"/>
  <c r="E41" i="3" a="1"/>
  <c r="E41" i="3" s="1"/>
  <c r="E20" i="7" l="1"/>
  <c r="E10" i="7" l="1"/>
  <c r="E11" i="7"/>
  <c r="E12" i="7"/>
  <c r="E13" i="7"/>
  <c r="E14" i="7"/>
  <c r="E15" i="7"/>
  <c r="E16" i="7"/>
  <c r="E9" i="7"/>
  <c r="E22" i="7" l="1"/>
  <c r="E45" i="3"/>
  <c r="L33" i="10" l="1"/>
  <c r="K33" i="10"/>
  <c r="J33" i="10"/>
  <c r="I33" i="10"/>
  <c r="H33" i="10"/>
  <c r="G33" i="10"/>
  <c r="F33" i="10"/>
  <c r="E33" i="10"/>
  <c r="D33" i="10"/>
  <c r="F49" i="10" l="1"/>
  <c r="F50" i="10"/>
  <c r="F48" i="10"/>
  <c r="F47" i="10"/>
  <c r="F45" i="10"/>
  <c r="D18" i="8" s="1"/>
  <c r="F44" i="10"/>
  <c r="F43" i="10"/>
  <c r="F42" i="10"/>
  <c r="F41" i="10"/>
  <c r="E7" i="5" l="1"/>
  <c r="E8" i="5"/>
  <c r="E9" i="5"/>
  <c r="E10" i="5"/>
  <c r="E12" i="5"/>
  <c r="E13" i="5"/>
  <c r="E14" i="5"/>
  <c r="E15" i="5"/>
  <c r="E16" i="5"/>
  <c r="E17" i="5"/>
  <c r="E19" i="5"/>
  <c r="E20" i="5"/>
  <c r="E21" i="5"/>
  <c r="E25" i="5"/>
  <c r="E27" i="5"/>
  <c r="E28" i="5"/>
  <c r="E38" i="5"/>
  <c r="E39" i="5"/>
  <c r="E40" i="5"/>
  <c r="G33" i="9"/>
  <c r="H33" i="9"/>
  <c r="F40" i="9"/>
  <c r="C19" i="1" s="1"/>
  <c r="F41" i="9"/>
  <c r="F42" i="9"/>
  <c r="F43" i="9"/>
  <c r="F44" i="9"/>
  <c r="F45" i="9"/>
  <c r="F46" i="9"/>
  <c r="F47" i="9"/>
  <c r="F48" i="9"/>
  <c r="F49" i="9"/>
  <c r="E9" i="3"/>
  <c r="E10" i="3"/>
  <c r="E12" i="3"/>
  <c r="E13" i="3"/>
  <c r="E14" i="3"/>
  <c r="E15" i="3"/>
  <c r="E16" i="3"/>
  <c r="E17" i="3"/>
  <c r="E18" i="3"/>
  <c r="E19" i="3"/>
  <c r="E20" i="3"/>
  <c r="E21" i="3"/>
  <c r="E23" i="3"/>
  <c r="E24" i="3"/>
  <c r="E26" i="3"/>
  <c r="E27" i="3"/>
  <c r="E29" i="3"/>
  <c r="E30" i="3"/>
  <c r="E31" i="3"/>
  <c r="E32" i="3"/>
  <c r="E33" i="3"/>
  <c r="E35" i="3"/>
  <c r="E37" i="3"/>
  <c r="E38" i="3"/>
  <c r="E8" i="4"/>
  <c r="E9" i="4"/>
  <c r="E10" i="4"/>
  <c r="E11" i="4"/>
  <c r="E12" i="4"/>
  <c r="E14" i="4"/>
  <c r="E16" i="4"/>
  <c r="E17" i="4"/>
  <c r="E18" i="4"/>
  <c r="E19" i="4"/>
  <c r="E21" i="4"/>
  <c r="E23" i="4"/>
  <c r="E24" i="4"/>
  <c r="E25" i="4"/>
  <c r="E26" i="4"/>
  <c r="E27" i="4"/>
  <c r="E28" i="4"/>
  <c r="E30" i="4"/>
  <c r="E8" i="6"/>
  <c r="E9" i="6"/>
  <c r="E10" i="6"/>
  <c r="E11" i="6"/>
  <c r="E25" i="6"/>
  <c r="E13" i="6"/>
  <c r="E18" i="6"/>
  <c r="E15" i="6"/>
  <c r="E16" i="6"/>
  <c r="E17" i="6"/>
  <c r="E19" i="6"/>
  <c r="E21" i="6"/>
  <c r="E22" i="6"/>
  <c r="E23" i="6"/>
  <c r="E24" i="6"/>
  <c r="E26" i="6"/>
  <c r="E27" i="6"/>
  <c r="E29" i="6"/>
  <c r="E30" i="6"/>
  <c r="E32" i="6"/>
  <c r="E33" i="6"/>
  <c r="E35" i="6"/>
  <c r="E36" i="6"/>
  <c r="E38" i="6"/>
  <c r="F11" i="2"/>
  <c r="J11" i="2" s="1"/>
  <c r="F12" i="2"/>
  <c r="J12" i="2" s="1"/>
  <c r="F13" i="2"/>
  <c r="J13" i="2" s="1"/>
  <c r="F14" i="2"/>
  <c r="J14" i="2" s="1"/>
  <c r="E43" i="5" l="1"/>
  <c r="E34" i="4"/>
  <c r="C17" i="1"/>
  <c r="E40" i="6"/>
  <c r="C15" i="1" s="1"/>
  <c r="J15" i="2"/>
  <c r="J17" i="2" s="1"/>
  <c r="J19" i="2" l="1"/>
  <c r="C26" i="1" s="1"/>
  <c r="E44" i="5"/>
  <c r="E45" i="5" s="1"/>
  <c r="C13" i="1" s="1"/>
  <c r="E35" i="4"/>
  <c r="C12" i="1" s="1"/>
  <c r="E46" i="3"/>
  <c r="C11" i="1" s="1"/>
  <c r="J21" i="2" l="1"/>
  <c r="C21" i="1"/>
  <c r="J20" i="2"/>
  <c r="J22" i="2" s="1"/>
  <c r="C10" i="1" l="1"/>
  <c r="C27" i="1" l="1"/>
  <c r="C24" i="1"/>
  <c r="C29" i="1"/>
  <c r="C25" i="1"/>
  <c r="C30"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<sst xmlns="http://schemas.openxmlformats.org/spreadsheetml/2006/main" count="387" uniqueCount="278">
  <si>
    <t>BUILDING PERMIT FEE ESTIMATION TOOL</t>
  </si>
  <si>
    <t>TOTAL PERMIT FEES</t>
  </si>
  <si>
    <t>Instructions</t>
  </si>
  <si>
    <t>Populate the highlighted fields applicable to your project in each of the worksheets (see tabs at bottom) included in this workbook.  The information provided will generate applicable fees in each of the worksheets which will be totaled in the table below</t>
  </si>
  <si>
    <t>Building Program Fees</t>
  </si>
  <si>
    <t>Structural Permit Fees</t>
  </si>
  <si>
    <t>Mechanical Fees</t>
  </si>
  <si>
    <t>Plumbing Fees</t>
  </si>
  <si>
    <t>Electrical Fees</t>
  </si>
  <si>
    <t>Sanitation Program Fees</t>
  </si>
  <si>
    <t>Sanitation Fees</t>
  </si>
  <si>
    <t>Planning Program Fees</t>
  </si>
  <si>
    <t>Land Use Review</t>
  </si>
  <si>
    <t>School District Assessments</t>
  </si>
  <si>
    <t>Const. Excise Tax</t>
  </si>
  <si>
    <t>State Agency Surcharges</t>
  </si>
  <si>
    <t>Oregon Building Codes Surcharge</t>
  </si>
  <si>
    <t>Oregon DEQ Surcharge</t>
  </si>
  <si>
    <t>Lane County Surcharges</t>
  </si>
  <si>
    <t>LMD Administrative Surcharge</t>
  </si>
  <si>
    <t>Long Range Planning Surcharge</t>
  </si>
  <si>
    <t>LMD New Technology Surcharge</t>
  </si>
  <si>
    <t>ESTIMATED INTAKE FEE DUE AT TIME OF APPLICATION</t>
  </si>
  <si>
    <t>TOTAL ESTIMATED BUILDING PERMIT FEES</t>
  </si>
  <si>
    <t>STRUCTURAL PERMIT FEES</t>
  </si>
  <si>
    <t xml:space="preserve">Applicant's Estimated Valuation for Project </t>
  </si>
  <si>
    <t>Estimated valuation of the project (total construction cost) =</t>
  </si>
  <si>
    <t>Calculated Valuation for Project</t>
  </si>
  <si>
    <t>Use</t>
  </si>
  <si>
    <t>Const. Type</t>
  </si>
  <si>
    <t>Cost Per Sq. Ft.</t>
  </si>
  <si>
    <t>Square Feet</t>
  </si>
  <si>
    <t>Calculated Value</t>
  </si>
  <si>
    <t>Area 1</t>
  </si>
  <si>
    <t>X</t>
  </si>
  <si>
    <t>=</t>
  </si>
  <si>
    <t>Area 2</t>
  </si>
  <si>
    <t>Area 3</t>
  </si>
  <si>
    <t>Area 4</t>
  </si>
  <si>
    <t>Area 5</t>
  </si>
  <si>
    <t xml:space="preserve">Total Calculated Valuation = </t>
  </si>
  <si>
    <t>Valuation Used for Permit Fee Calulcation:</t>
  </si>
  <si>
    <t>The higher of the Applicant's Estimate Value and the Calculated Value</t>
  </si>
  <si>
    <t>Structural Fees</t>
  </si>
  <si>
    <t>Structural Permit Fee, designate whether applicable ('Yes' or 'No')</t>
  </si>
  <si>
    <t>Structural Plan Review Fee, designate whether applicable ('Yes' or 'No')</t>
  </si>
  <si>
    <t>NO</t>
  </si>
  <si>
    <t>Fire and Life Safety Plan Review Fee, designate whether applicable ('Yes' or 'No')</t>
  </si>
  <si>
    <t>TOTAL STRUCTURAL PERMIT FEES =</t>
  </si>
  <si>
    <t>MECHANICAL PERMIT FEES</t>
  </si>
  <si>
    <t>Description</t>
  </si>
  <si>
    <t xml:space="preserve">Total </t>
  </si>
  <si>
    <t xml:space="preserve">  Residential</t>
  </si>
  <si>
    <t>Furnace/Burner (including ducts and vents)</t>
  </si>
  <si>
    <t>Up to 100k BTU/hr.</t>
  </si>
  <si>
    <t>Over 100k BTU/hr.</t>
  </si>
  <si>
    <t>Heaters/Stoves/Coolers/Vents</t>
  </si>
  <si>
    <t>Residential heat pump</t>
  </si>
  <si>
    <t>Suspended/recessed unit heater</t>
  </si>
  <si>
    <t>Floor furnace, including vent</t>
  </si>
  <si>
    <t>Wood/pellet/gas stove or insert</t>
  </si>
  <si>
    <t>Evaporative cooler or residential AC unit</t>
  </si>
  <si>
    <t>Repair/alter/add to heating appliance/refrigeration unit or cooling system/absorption system</t>
  </si>
  <si>
    <t>Vent fan with one duct</t>
  </si>
  <si>
    <t>Appliance vent</t>
  </si>
  <si>
    <t>Hood with exhaust and duct</t>
  </si>
  <si>
    <t>Vent system not part of heat or AC system</t>
  </si>
  <si>
    <t>One to four outlets</t>
  </si>
  <si>
    <t>Additional outlets (each)</t>
  </si>
  <si>
    <t>Air-handling units, including ducts</t>
  </si>
  <si>
    <t>Up to 10,000 CFM</t>
  </si>
  <si>
    <t>Over 10,000 CFM</t>
  </si>
  <si>
    <t>Boiler/Compressor/Absorption Systems</t>
  </si>
  <si>
    <t>Up to 3 hp/100k BTU</t>
  </si>
  <si>
    <t>Up to 15 hp/500k BTU</t>
  </si>
  <si>
    <t>Up to 30 hp/1,000 BTU</t>
  </si>
  <si>
    <t>Up to 50 hp/1,750 BTU</t>
  </si>
  <si>
    <t>Over 50 hp/1,750 BTU</t>
  </si>
  <si>
    <t>Incinerators</t>
  </si>
  <si>
    <t>Domestic incinerator</t>
  </si>
  <si>
    <t>Other</t>
  </si>
  <si>
    <t>Vent pre-inspection for inserts</t>
  </si>
  <si>
    <t>Other permittable appliances or equipment not listed above</t>
  </si>
  <si>
    <t xml:space="preserve">  Commercial</t>
  </si>
  <si>
    <t>Total project value (equipment &amp; install)</t>
  </si>
  <si>
    <r>
      <t>(B)</t>
    </r>
    <r>
      <rPr>
        <sz val="8"/>
        <rFont val="Arial"/>
        <family val="2"/>
      </rPr>
      <t xml:space="preserve"> Investigative Fee, designate 'Yes' or 'No' (equal to [A])</t>
    </r>
  </si>
  <si>
    <r>
      <t>(C)</t>
    </r>
    <r>
      <rPr>
        <sz val="8"/>
        <rFont val="Arial"/>
        <family val="2"/>
      </rPr>
      <t xml:space="preserve"> Plan Review Fee, designate 'Yes' or 'No' (25% of [A])</t>
    </r>
  </si>
  <si>
    <t>TOTAL MECHANICAL PERMIT FEES (A through C):</t>
  </si>
  <si>
    <t>New Residential Dwelling</t>
  </si>
  <si>
    <r>
      <t xml:space="preserve">1 bathroom/1 kitchen </t>
    </r>
    <r>
      <rPr>
        <i/>
        <sz val="8"/>
        <rFont val="Arial"/>
        <family val="2"/>
      </rPr>
      <t>(includes: first 100 feet of water/sewer lines, hose bibbs, ice maker, underfloor low-point drains and rain-drain packages)</t>
    </r>
  </si>
  <si>
    <t>2 bathrooms/1 kitchen</t>
  </si>
  <si>
    <t>3 bathrooms/1kitchen</t>
  </si>
  <si>
    <r>
      <t xml:space="preserve">Each additional bathrooms </t>
    </r>
    <r>
      <rPr>
        <i/>
        <sz val="8"/>
        <rFont val="Arial"/>
        <family val="2"/>
      </rPr>
      <t>(over 3)</t>
    </r>
  </si>
  <si>
    <r>
      <t>Each additional kitchen</t>
    </r>
    <r>
      <rPr>
        <i/>
        <sz val="8"/>
        <rFont val="Arial"/>
        <family val="2"/>
      </rPr>
      <t xml:space="preserve"> (over 1)</t>
    </r>
  </si>
  <si>
    <t>Accessory/Addition/Alteration</t>
  </si>
  <si>
    <t>Each fixture or appurtenance *</t>
  </si>
  <si>
    <t>Residential Fire Sprinklers (includes plan review)</t>
  </si>
  <si>
    <t>0 to 2000 square feet</t>
  </si>
  <si>
    <t>2001 to 3600 square feet</t>
  </si>
  <si>
    <t>3601 to 7200 square feet</t>
  </si>
  <si>
    <t>7201 square feet and greater</t>
  </si>
  <si>
    <t>Commercial</t>
  </si>
  <si>
    <t>Water Service/Sanitary Sewer/Storm Sewer (Includes MH)</t>
  </si>
  <si>
    <t>Water Service, first 100 ft or fraction</t>
  </si>
  <si>
    <t xml:space="preserve">              each add’l 100 ft or fraction</t>
  </si>
  <si>
    <t>Building Sewer, first 100 ft or fraction</t>
  </si>
  <si>
    <t>Storm Sewer/Rain Drain, first 100 ft or fraction</t>
  </si>
  <si>
    <r>
      <t xml:space="preserve">              </t>
    </r>
    <r>
      <rPr>
        <sz val="8"/>
        <rFont val="Arial"/>
        <family val="2"/>
      </rPr>
      <t>each add’l 100 ft or fraction</t>
    </r>
  </si>
  <si>
    <t>RV and Manufactured Dwellings Parks</t>
  </si>
  <si>
    <t>Each  space</t>
  </si>
  <si>
    <r>
      <t>(C)</t>
    </r>
    <r>
      <rPr>
        <sz val="8"/>
        <rFont val="Arial"/>
        <family val="2"/>
      </rPr>
      <t xml:space="preserve"> Plan Review Fee, designate 'Yes' or 'No' (30% of [A])</t>
    </r>
  </si>
  <si>
    <t>TOTAL PLUMBING PERMIT FEES (A through C):</t>
  </si>
  <si>
    <t>* For  the purposes of calculating permit fees above, “fixtures” include but are not limited to the following:  Bathtubs, bidets, clothes washers, drinking fountains, laundry tubs, showers, sinks, urinals, water closets, water heaters.</t>
  </si>
  <si>
    <t>ELECTRICAL PERMIT FEES</t>
  </si>
  <si>
    <t>Total</t>
  </si>
  <si>
    <t xml:space="preserve">1,000 sq. ft. or less </t>
  </si>
  <si>
    <t xml:space="preserve">Each additional 500 sq. ft. or portion </t>
  </si>
  <si>
    <t>Limited Energy *</t>
  </si>
  <si>
    <t>Each manufactured home or modular dwelling service or feeder (2)</t>
  </si>
  <si>
    <t>200 amps or less</t>
  </si>
  <si>
    <t xml:space="preserve">201 to 400 amps </t>
  </si>
  <si>
    <t xml:space="preserve">401 to 600 amps </t>
  </si>
  <si>
    <t xml:space="preserve">601 to 1,000 amps </t>
  </si>
  <si>
    <t xml:space="preserve">Over 1,000 amps or volts </t>
  </si>
  <si>
    <t xml:space="preserve">Reconnect only </t>
  </si>
  <si>
    <t>Over 600 amps or 1,000 volts. See services or feeders section, above.</t>
  </si>
  <si>
    <t xml:space="preserve">a. Fee for branch circuits with purchase of a service or feeder fee: </t>
  </si>
  <si>
    <t xml:space="preserve">Each branch circuit </t>
  </si>
  <si>
    <t xml:space="preserve">b. Fee for branch circuits without purchase of a service or feeder fee: </t>
  </si>
  <si>
    <t xml:space="preserve">First branch circuit </t>
  </si>
  <si>
    <t>Each additional branch circuit</t>
  </si>
  <si>
    <t xml:space="preserve">Pump or irrigation circle </t>
  </si>
  <si>
    <t xml:space="preserve">Sign or outline lighting </t>
  </si>
  <si>
    <t xml:space="preserve">Signal circuit or a limited-energy panel, alteration, or extension </t>
  </si>
  <si>
    <t>TOTAL ELECTRICAL PERMIT FEES (A through C):</t>
  </si>
  <si>
    <t>* Doorbell, garage door opener, and/or heating/AC control wiring included in sq. ft.  “Limited Energy, Residential” to be purchased for work beyond these items or when purchased as a separate permit.</t>
  </si>
  <si>
    <t>SANITATION PERMIT FEES</t>
  </si>
  <si>
    <t xml:space="preserve">Site Evaluation </t>
  </si>
  <si>
    <t>Commercial System, 1st 1,000 GPD</t>
  </si>
  <si>
    <t xml:space="preserve">   each 500 gpd above 1000 GPD up to 2500 gpd</t>
  </si>
  <si>
    <t>Single Family Dwelling, 1st Lot</t>
  </si>
  <si>
    <t xml:space="preserve">   each additional lot evaluated during initial visit</t>
  </si>
  <si>
    <t>Construction Permit</t>
  </si>
  <si>
    <t>Standard On-site System</t>
  </si>
  <si>
    <t>Alternative Treatment Technology</t>
  </si>
  <si>
    <t>Holding Tanks</t>
  </si>
  <si>
    <t>Capping Fill</t>
  </si>
  <si>
    <t>Disposal Trenches in Saprolite</t>
  </si>
  <si>
    <t>Gray Water Waste Disposal Sump</t>
  </si>
  <si>
    <t>Pressure Distribution</t>
  </si>
  <si>
    <t>Redundant</t>
  </si>
  <si>
    <t>Sand Filter</t>
  </si>
  <si>
    <t>Seepage Pit</t>
  </si>
  <si>
    <t>Seepage Trench</t>
  </si>
  <si>
    <t>Steep Slope</t>
  </si>
  <si>
    <t>Tile Dewatering</t>
  </si>
  <si>
    <t>Alteration Permit</t>
  </si>
  <si>
    <t>Major</t>
  </si>
  <si>
    <t>Minor</t>
  </si>
  <si>
    <t>Repair Permit</t>
  </si>
  <si>
    <t>Authorization Notice</t>
  </si>
  <si>
    <t>Field visit</t>
  </si>
  <si>
    <t>No field visit</t>
  </si>
  <si>
    <t>Referrals</t>
  </si>
  <si>
    <t>Sanitation Referral on Building Permit</t>
  </si>
  <si>
    <t>TOTAL SANITATION PERMIT FEES:</t>
  </si>
  <si>
    <t>LAND USE REVIEW FEES</t>
  </si>
  <si>
    <t>Land Use Reviews</t>
  </si>
  <si>
    <t>Zoning Certification</t>
  </si>
  <si>
    <t>Photo Fuel Break</t>
  </si>
  <si>
    <t>Access Review</t>
  </si>
  <si>
    <t>Coastal Combining Review</t>
  </si>
  <si>
    <t>New Addresses</t>
  </si>
  <si>
    <t>Addressing</t>
  </si>
  <si>
    <t>Service Development Charges (SDCs)</t>
  </si>
  <si>
    <t>Lane County Parks SDC</t>
  </si>
  <si>
    <t>Land Use Review Fees</t>
  </si>
  <si>
    <t>TOTAL LAND USE REVIEW FEES:</t>
  </si>
  <si>
    <t>School District</t>
  </si>
  <si>
    <t>Residential</t>
  </si>
  <si>
    <t>Taxable Residential Square Feet</t>
  </si>
  <si>
    <t>Exempt Residential Square Feet</t>
  </si>
  <si>
    <t>Total Residential Square Feet</t>
  </si>
  <si>
    <t>Taxable Non-Residential Square Feet</t>
  </si>
  <si>
    <t>Exempt Non-Residential Square Feet</t>
  </si>
  <si>
    <t>Total Non-Residential Square Feet</t>
  </si>
  <si>
    <t>Construction Excise Tax</t>
  </si>
  <si>
    <t>CET Applies?</t>
  </si>
  <si>
    <t>YES</t>
  </si>
  <si>
    <t>Group</t>
  </si>
  <si>
    <t>Type of Construction</t>
  </si>
  <si>
    <t>IA  Noncombustible construction (concrete), protected</t>
  </si>
  <si>
    <t>IB  Noncombustible construction (concrete), unprotected</t>
  </si>
  <si>
    <t>IIA  Noncombustible construction (masonry, steel), protected</t>
  </si>
  <si>
    <t>IIB  Noncombustible construction  (masonry, steel), unprotected</t>
  </si>
  <si>
    <t>IIIA  Noncombustible exterior walls, protected</t>
  </si>
  <si>
    <t>IIIA  Noncombustible exterior walls, unprotected</t>
  </si>
  <si>
    <t>IV  Heavy timber construction</t>
  </si>
  <si>
    <t>VA  Constructed of any material (typically wood framed), protected</t>
  </si>
  <si>
    <t>VB  Constructed of any material (typically wood framed), unprotected</t>
  </si>
  <si>
    <t>A-1  Assembly, theaters, with stage</t>
  </si>
  <si>
    <t>A-1  Assembly, theaters, without stage</t>
  </si>
  <si>
    <t>A-2  Assembly, nightclubs</t>
  </si>
  <si>
    <t>A-2  Assembly, restaurants, bars, banquet halls</t>
  </si>
  <si>
    <t>A-3  Assembly, churches</t>
  </si>
  <si>
    <t>A-3  Assembly, general, community halls, libraries, museums</t>
  </si>
  <si>
    <t>A-4  Assembly, arenas</t>
  </si>
  <si>
    <t>B  Business</t>
  </si>
  <si>
    <t>E  Educational</t>
  </si>
  <si>
    <t>F-1  Factory and industrial, moderate hazard</t>
  </si>
  <si>
    <t>F-2  Factory and industrial, low hazard</t>
  </si>
  <si>
    <t>H-1  High hazard, explosives</t>
  </si>
  <si>
    <t>Not Allowed</t>
  </si>
  <si>
    <t>H234  High Hazard</t>
  </si>
  <si>
    <t>H-5  HPM</t>
  </si>
  <si>
    <t>I-1  Institutional, supervised environment</t>
  </si>
  <si>
    <t>I-2  Institutional, hospitals</t>
  </si>
  <si>
    <t>I-2  Institutional, nursing homes</t>
  </si>
  <si>
    <t>I-3  Institutional, restrained</t>
  </si>
  <si>
    <t>I-4  Institutional, day care facilities</t>
  </si>
  <si>
    <t>M  Mercantile</t>
  </si>
  <si>
    <t>R-1  Residential, hotels</t>
  </si>
  <si>
    <t>R-2  Residential, multiple family</t>
  </si>
  <si>
    <t>R-3  Residential, one- and two-family</t>
  </si>
  <si>
    <t>R-4  Residential, care-assisted living facilities</t>
  </si>
  <si>
    <t>S-1  Storage, moderate hazard</t>
  </si>
  <si>
    <t>S-2  Storage, lowe hazard</t>
  </si>
  <si>
    <t>U  Utility, miscellaneous</t>
  </si>
  <si>
    <t>Carports, coverd portch, patio, or deck</t>
  </si>
  <si>
    <t>CET School Districts</t>
  </si>
  <si>
    <t>CET Res Rate</t>
  </si>
  <si>
    <t>CET Com Rate</t>
  </si>
  <si>
    <t>CET</t>
  </si>
  <si>
    <t>Bethel</t>
  </si>
  <si>
    <t>Creswell</t>
  </si>
  <si>
    <t>Fern Ridge</t>
  </si>
  <si>
    <t>Junction City</t>
  </si>
  <si>
    <t>Lowell</t>
  </si>
  <si>
    <t>McKenzie</t>
  </si>
  <si>
    <t>Oakridge</t>
  </si>
  <si>
    <t>Siuslaw</t>
  </si>
  <si>
    <t>South Lane</t>
  </si>
  <si>
    <t>IIIB  Noncombustible exterior walls, unprotected</t>
  </si>
  <si>
    <t>Post Earthquake</t>
  </si>
  <si>
    <t>H-2  High Hazard</t>
  </si>
  <si>
    <t>Monroe</t>
  </si>
  <si>
    <r>
      <rPr>
        <b/>
        <sz val="8"/>
        <rFont val="Arial"/>
        <family val="2"/>
      </rPr>
      <t xml:space="preserve">PLEASE NOTE:  </t>
    </r>
    <r>
      <rPr>
        <sz val="8"/>
        <rFont val="Arial"/>
        <family val="2"/>
      </rPr>
      <t>This tool is intended for informational purposes only. Fees calculated here are completely dependent upon the information provided.  Staff may determine additional review fees not calculated here are applicable to your project upon review of your application.</t>
    </r>
  </si>
  <si>
    <t>Base Fee</t>
  </si>
  <si>
    <t>QTY</t>
  </si>
  <si>
    <t xml:space="preserve">Select from Drop Down </t>
  </si>
  <si>
    <t>Y/N</t>
  </si>
  <si>
    <t>Airport Safety Combining Zone Review</t>
  </si>
  <si>
    <t>Legal Lot Determination</t>
  </si>
  <si>
    <t>Weltands Notice to DSL</t>
  </si>
  <si>
    <t>Quantity</t>
  </si>
  <si>
    <t>Gas Piping</t>
  </si>
  <si>
    <t>PLUMBING PERMIT FEES</t>
  </si>
  <si>
    <r>
      <t>Services or feeders:</t>
    </r>
    <r>
      <rPr>
        <b/>
        <i/>
        <sz val="9"/>
        <rFont val="Arial"/>
        <family val="2"/>
      </rPr>
      <t xml:space="preserve"> </t>
    </r>
    <r>
      <rPr>
        <i/>
        <sz val="9"/>
        <rFont val="Arial"/>
        <family val="2"/>
      </rPr>
      <t>installation, alteration, relocation</t>
    </r>
  </si>
  <si>
    <r>
      <t>Temporary services or feeders:</t>
    </r>
    <r>
      <rPr>
        <b/>
        <i/>
        <sz val="9"/>
        <rFont val="Arial"/>
        <family val="2"/>
      </rPr>
      <t xml:space="preserve"> </t>
    </r>
    <r>
      <rPr>
        <i/>
        <sz val="9"/>
        <rFont val="Arial"/>
        <family val="2"/>
      </rPr>
      <t>installation, alteration, relocation</t>
    </r>
  </si>
  <si>
    <r>
      <t xml:space="preserve">Branch circuits: </t>
    </r>
    <r>
      <rPr>
        <i/>
        <sz val="9"/>
        <rFont val="Arial"/>
        <family val="2"/>
      </rPr>
      <t>new, alteration, extension per panel</t>
    </r>
  </si>
  <si>
    <r>
      <t xml:space="preserve">Miscellaneous: </t>
    </r>
    <r>
      <rPr>
        <i/>
        <sz val="9"/>
        <rFont val="Arial"/>
        <family val="2"/>
      </rPr>
      <t>service or feeder not included</t>
    </r>
  </si>
  <si>
    <t>CONSTRUCTION EXCISE TAX</t>
  </si>
  <si>
    <r>
      <t xml:space="preserve">(A) </t>
    </r>
    <r>
      <rPr>
        <sz val="8"/>
        <rFont val="Arial"/>
        <family val="2"/>
      </rPr>
      <t>Subtotal of Fees above ($102.00 minimum applies)</t>
    </r>
  </si>
  <si>
    <r>
      <rPr>
        <b/>
        <sz val="8"/>
        <rFont val="Arial"/>
        <family val="2"/>
      </rPr>
      <t>(A)</t>
    </r>
    <r>
      <rPr>
        <sz val="8"/>
        <rFont val="Arial"/>
        <family val="2"/>
      </rPr>
      <t xml:space="preserve"> Subtotal of Fees above ($102.00 minimum applies)</t>
    </r>
  </si>
  <si>
    <r>
      <t>New residential dwelling unit,</t>
    </r>
    <r>
      <rPr>
        <sz val="9"/>
        <rFont val="Arial"/>
        <family val="2"/>
      </rPr>
      <t xml:space="preserve"> includes attached garage. </t>
    </r>
  </si>
  <si>
    <t>Renewable energy</t>
  </si>
  <si>
    <t>5 kva or less</t>
  </si>
  <si>
    <t>5.01 kva to 15 kva</t>
  </si>
  <si>
    <t>15.01 kva to 25 kva</t>
  </si>
  <si>
    <t>&gt; 25 kva</t>
  </si>
  <si>
    <t>Each additional kva over 25 ($900 max)</t>
  </si>
  <si>
    <t>Wind generator 25.01 kva to 50 kva</t>
  </si>
  <si>
    <t>Wind generator 50.01 kva to 100 kva</t>
  </si>
  <si>
    <t>Pressurized Seepage Bag</t>
  </si>
  <si>
    <t>Bottomless Sand Filter</t>
  </si>
  <si>
    <t>Greenway Determination</t>
  </si>
  <si>
    <t>Fee based on valuation of work from bldg permit fee table</t>
  </si>
  <si>
    <t>CET fee amount only applies to taxable square feet.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</si>
</sst>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9" x14ac:knownFonts="1">
    <font>
      <sz val="10"/>
      <name val="Arial"/>
    </font>
    <font>
      <sz val="10"/>
      <name val="Arial"/>
      <family val="2"/>
    </font>
    <font>
      <b/>
      <sz val="10"/>
      <name val="Arial"/>
      <family val="2"/>
    </font>
    <font>
      <b/>
      <sz val="10"/>
      <name val="Calibri"/>
      <family val="2"/>
    </font>
    <font>
      <b/>
      <sz val="12"/>
      <name val="Calibri"/>
      <family val="2"/>
    </font>
    <font>
      <sz val="12"/>
      <name val="Calibri"/>
      <family val="2"/>
    </font>
    <font>
      <b/>
      <u/>
      <sz val="12"/>
      <name val="Calibri"/>
      <family val="2"/>
    </font>
    <font>
      <sz val="10"/>
      <name val="Calibri"/>
      <family val="2"/>
    </font>
    <font>
      <b/>
      <sz val="8"/>
      <name val="Arial"/>
      <family val="2"/>
    </font>
    <font>
      <sz val="8"/>
      <name val="Arial"/>
      <family val="2"/>
    </font>
    <font>
      <b/>
      <sz val="9"/>
      <name val="Arial"/>
      <family val="2"/>
    </font>
    <font>
      <i/>
      <sz val="8"/>
      <name val="Arial"/>
      <family val="2"/>
    </font>
    <font>
      <sz val="10"/>
      <name val="Arial"/>
      <family val="2"/>
    </font>
    <font>
      <sz val="11"/>
      <color theme="1"/>
      <name val="Calibri"/>
      <family val="2"/>
      <scheme val="minor"/>
    </font>
    <font>
      <sz val="9"/>
      <name val="Arial"/>
      <family val="2"/>
    </font>
    <font>
      <b/>
      <sz val="12"/>
      <name val="Arial"/>
      <family val="2"/>
    </font>
    <font>
      <b/>
      <u/>
      <sz val="12"/>
      <name val="Arial"/>
      <family val="2"/>
    </font>
    <font>
      <b/>
      <i/>
      <sz val="9"/>
      <name val="Arial"/>
      <family val="2"/>
    </font>
    <font>
      <i/>
      <sz val="9"/>
      <name val="Arial"/>
      <family val="2"/>
    </font>
  </fonts>
  <fills count="5">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44" fontId="12" fillId="0" borderId="0" applyFont="0" applyFill="0" applyBorder="0" applyAlignment="0" applyProtection="0"/>
    <xf numFmtId="0" fontId="13" fillId="0" borderId="0"/>
  </cellStyleXfs>
  <cellXfs count="182">
    <xf numFmtId="0" fontId="0" fillId="0" borderId="0" xfId="0"/>
    <xf numFmtId="0" fontId="5" fillId="0" borderId="0" xfId="0" applyFont="1"/>
    <xf numFmtId="0" fontId="6" fillId="0" borderId="0" xfId="0" applyFont="1"/>
    <xf numFmtId="0" fontId="4" fillId="0" borderId="0" xfId="0" applyFont="1" applyAlignment="1"/>
    <xf numFmtId="0" fontId="7" fillId="0" borderId="1" xfId="0" applyFont="1" applyBorder="1"/>
    <xf numFmtId="0" fontId="3" fillId="0" borderId="2" xfId="0" applyFont="1" applyBorder="1" applyAlignment="1">
      <alignment vertical="top" wrapText="1"/>
    </xf>
    <xf numFmtId="0" fontId="7" fillId="0" borderId="3" xfId="0" applyFont="1" applyBorder="1" applyAlignment="1">
      <alignment vertical="top" wrapText="1"/>
    </xf>
    <xf numFmtId="0" fontId="7" fillId="0" borderId="1" xfId="0" applyFont="1" applyBorder="1" applyAlignment="1">
      <alignment horizontal="center" vertical="top" wrapText="1"/>
    </xf>
    <xf numFmtId="0" fontId="7" fillId="0" borderId="1" xfId="0" applyFont="1" applyBorder="1" applyAlignment="1">
      <alignment horizontal="center"/>
    </xf>
    <xf numFmtId="0" fontId="0" fillId="0" borderId="1" xfId="0" applyBorder="1"/>
    <xf numFmtId="0" fontId="3" fillId="0" borderId="1" xfId="0" applyFont="1" applyBorder="1"/>
    <xf numFmtId="0" fontId="5" fillId="0" borderId="1" xfId="0" applyFont="1" applyBorder="1" applyAlignment="1">
      <alignment horizontal="center"/>
    </xf>
    <xf numFmtId="0" fontId="7" fillId="0" borderId="1" xfId="0" applyFont="1" applyFill="1" applyBorder="1"/>
    <xf numFmtId="0" fontId="9" fillId="0" borderId="4" xfId="0" applyFont="1" applyBorder="1" applyProtection="1">
      <protection hidden="1"/>
    </xf>
    <xf numFmtId="164" fontId="9" fillId="0" borderId="4" xfId="0" applyNumberFormat="1" applyFont="1" applyBorder="1" applyProtection="1">
      <protection hidden="1"/>
    </xf>
    <xf numFmtId="0" fontId="8" fillId="2" borderId="5" xfId="0" applyFont="1" applyFill="1" applyBorder="1" applyProtection="1">
      <protection hidden="1"/>
    </xf>
    <xf numFmtId="164" fontId="8" fillId="2" borderId="6" xfId="0" applyNumberFormat="1" applyFont="1" applyFill="1" applyBorder="1" applyProtection="1">
      <protection hidden="1"/>
    </xf>
    <xf numFmtId="0" fontId="8" fillId="0" borderId="4" xfId="0" applyFont="1" applyBorder="1" applyProtection="1">
      <protection hidden="1"/>
    </xf>
    <xf numFmtId="164" fontId="8" fillId="0" borderId="4" xfId="0" applyNumberFormat="1" applyFont="1" applyBorder="1" applyProtection="1">
      <protection hidden="1"/>
    </xf>
    <xf numFmtId="0" fontId="0" fillId="0" borderId="7" xfId="0" applyBorder="1" applyProtection="1">
      <protection hidden="1"/>
    </xf>
    <xf numFmtId="0" fontId="9" fillId="0" borderId="8" xfId="0" applyFont="1" applyBorder="1" applyProtection="1">
      <protection hidden="1"/>
    </xf>
    <xf numFmtId="0" fontId="0" fillId="0" borderId="8" xfId="0" applyBorder="1" applyProtection="1">
      <protection hidden="1"/>
    </xf>
    <xf numFmtId="0" fontId="8" fillId="0" borderId="8" xfId="0" applyFont="1" applyBorder="1" applyAlignment="1" applyProtection="1">
      <alignment horizontal="right"/>
      <protection hidden="1"/>
    </xf>
    <xf numFmtId="164" fontId="9" fillId="3" borderId="9" xfId="0" applyNumberFormat="1" applyFont="1" applyFill="1" applyBorder="1" applyAlignment="1" applyProtection="1">
      <alignment horizontal="center"/>
      <protection locked="0" hidden="1"/>
    </xf>
    <xf numFmtId="0" fontId="8" fillId="0" borderId="4" xfId="0" applyFont="1" applyBorder="1" applyAlignment="1" applyProtection="1">
      <alignment horizontal="center"/>
      <protection hidden="1"/>
    </xf>
    <xf numFmtId="0" fontId="9" fillId="3" borderId="4" xfId="0" applyFont="1" applyFill="1" applyBorder="1" applyProtection="1">
      <protection locked="0" hidden="1"/>
    </xf>
    <xf numFmtId="164" fontId="9" fillId="0" borderId="5" xfId="0" applyNumberFormat="1" applyFont="1" applyBorder="1" applyAlignment="1" applyProtection="1">
      <alignment horizontal="center"/>
      <protection hidden="1"/>
    </xf>
    <xf numFmtId="0" fontId="9" fillId="0" borderId="6" xfId="0" applyFont="1" applyBorder="1" applyProtection="1">
      <protection hidden="1"/>
    </xf>
    <xf numFmtId="0" fontId="9" fillId="0" borderId="5" xfId="0" applyFont="1" applyBorder="1" applyAlignment="1" applyProtection="1">
      <alignment horizontal="center"/>
      <protection hidden="1"/>
    </xf>
    <xf numFmtId="164" fontId="9" fillId="0" borderId="6" xfId="0" applyNumberFormat="1" applyFont="1" applyBorder="1" applyAlignment="1" applyProtection="1">
      <alignment horizontal="center"/>
      <protection hidden="1"/>
    </xf>
    <xf numFmtId="0" fontId="9" fillId="0" borderId="10" xfId="0" applyFont="1" applyBorder="1" applyProtection="1">
      <protection hidden="1"/>
    </xf>
    <xf numFmtId="0" fontId="9" fillId="0" borderId="0" xfId="0" applyFont="1" applyBorder="1" applyProtection="1">
      <protection hidden="1"/>
    </xf>
    <xf numFmtId="0" fontId="8" fillId="0" borderId="0" xfId="0" applyFont="1" applyBorder="1" applyAlignment="1" applyProtection="1">
      <alignment horizontal="right"/>
      <protection hidden="1"/>
    </xf>
    <xf numFmtId="164" fontId="9" fillId="0" borderId="11" xfId="0" applyNumberFormat="1" applyFont="1" applyBorder="1" applyAlignment="1" applyProtection="1">
      <alignment horizontal="center"/>
      <protection hidden="1"/>
    </xf>
    <xf numFmtId="0" fontId="0" fillId="0" borderId="10" xfId="0" applyBorder="1" applyProtection="1">
      <protection hidden="1"/>
    </xf>
    <xf numFmtId="0" fontId="0" fillId="0" borderId="0" xfId="0" applyBorder="1" applyProtection="1">
      <protection hidden="1"/>
    </xf>
    <xf numFmtId="164" fontId="8" fillId="0" borderId="12" xfId="0" applyNumberFormat="1" applyFont="1" applyBorder="1" applyAlignment="1" applyProtection="1">
      <alignment horizontal="center"/>
      <protection hidden="1"/>
    </xf>
    <xf numFmtId="164" fontId="2" fillId="0" borderId="4" xfId="0" applyNumberFormat="1" applyFont="1" applyBorder="1" applyAlignment="1" applyProtection="1">
      <alignment horizontal="center"/>
      <protection hidden="1"/>
    </xf>
    <xf numFmtId="0" fontId="10" fillId="2" borderId="4" xfId="0" applyFont="1" applyFill="1" applyBorder="1" applyProtection="1">
      <protection hidden="1"/>
    </xf>
    <xf numFmtId="0" fontId="10" fillId="2" borderId="6" xfId="0" applyFont="1" applyFill="1" applyBorder="1" applyAlignment="1" applyProtection="1">
      <alignment horizontal="center" wrapText="1"/>
      <protection hidden="1"/>
    </xf>
    <xf numFmtId="0" fontId="9" fillId="0" borderId="14" xfId="0" applyFont="1" applyBorder="1" applyAlignment="1" applyProtection="1">
      <alignment wrapText="1"/>
      <protection hidden="1"/>
    </xf>
    <xf numFmtId="164" fontId="9" fillId="0" borderId="15" xfId="0" applyNumberFormat="1" applyFont="1" applyBorder="1" applyAlignment="1" applyProtection="1">
      <alignment wrapText="1"/>
      <protection hidden="1"/>
    </xf>
    <xf numFmtId="0" fontId="9" fillId="0" borderId="9" xfId="0" applyFont="1" applyBorder="1" applyAlignment="1" applyProtection="1">
      <alignment wrapText="1"/>
      <protection hidden="1"/>
    </xf>
    <xf numFmtId="0" fontId="9" fillId="0" borderId="12" xfId="0" applyFont="1" applyBorder="1" applyAlignment="1" applyProtection="1">
      <alignment wrapText="1"/>
      <protection hidden="1"/>
    </xf>
    <xf numFmtId="0" fontId="9" fillId="0" borderId="4" xfId="0" applyFont="1" applyBorder="1" applyAlignment="1" applyProtection="1">
      <alignment wrapText="1"/>
      <protection hidden="1"/>
    </xf>
    <xf numFmtId="0" fontId="0" fillId="0" borderId="4" xfId="0" applyBorder="1" applyProtection="1">
      <protection hidden="1"/>
    </xf>
    <xf numFmtId="164" fontId="9" fillId="0" borderId="4" xfId="0" applyNumberFormat="1" applyFont="1" applyBorder="1" applyAlignment="1" applyProtection="1">
      <alignment wrapText="1"/>
      <protection hidden="1"/>
    </xf>
    <xf numFmtId="0" fontId="8" fillId="3" borderId="4" xfId="0" applyFont="1" applyFill="1" applyBorder="1" applyAlignment="1" applyProtection="1">
      <alignment horizontal="center" wrapText="1"/>
      <protection locked="0" hidden="1"/>
    </xf>
    <xf numFmtId="164" fontId="2" fillId="0" borderId="4" xfId="0" applyNumberFormat="1" applyFont="1" applyBorder="1" applyAlignment="1" applyProtection="1">
      <alignment wrapText="1"/>
      <protection hidden="1"/>
    </xf>
    <xf numFmtId="0" fontId="10" fillId="2" borderId="4" xfId="0" applyFont="1" applyFill="1" applyBorder="1" applyAlignment="1" applyProtection="1">
      <alignment wrapText="1"/>
      <protection hidden="1"/>
    </xf>
    <xf numFmtId="0" fontId="10" fillId="2" borderId="5" xfId="0" applyFont="1" applyFill="1" applyBorder="1" applyAlignment="1" applyProtection="1">
      <alignment horizontal="center" wrapText="1"/>
      <protection hidden="1"/>
    </xf>
    <xf numFmtId="0" fontId="10" fillId="2" borderId="4" xfId="0" applyFont="1" applyFill="1" applyBorder="1" applyAlignment="1" applyProtection="1">
      <alignment horizontal="center" wrapText="1"/>
      <protection hidden="1"/>
    </xf>
    <xf numFmtId="0" fontId="9" fillId="0" borderId="14" xfId="0" applyFont="1" applyBorder="1" applyAlignment="1" applyProtection="1">
      <alignment horizontal="right" wrapText="1"/>
      <protection hidden="1"/>
    </xf>
    <xf numFmtId="0" fontId="8" fillId="0" borderId="14" xfId="0" applyFont="1" applyBorder="1" applyAlignment="1" applyProtection="1">
      <alignment horizontal="right" wrapText="1"/>
      <protection hidden="1"/>
    </xf>
    <xf numFmtId="164" fontId="9" fillId="0" borderId="14" xfId="0" applyNumberFormat="1" applyFont="1" applyBorder="1" applyAlignment="1" applyProtection="1">
      <alignment wrapText="1"/>
      <protection hidden="1"/>
    </xf>
    <xf numFmtId="164" fontId="9" fillId="0" borderId="6" xfId="0" applyNumberFormat="1" applyFont="1" applyBorder="1" applyAlignment="1" applyProtection="1">
      <alignment wrapText="1"/>
      <protection hidden="1"/>
    </xf>
    <xf numFmtId="164" fontId="2" fillId="0" borderId="6" xfId="0" applyNumberFormat="1" applyFont="1" applyBorder="1" applyAlignment="1" applyProtection="1">
      <alignment wrapText="1"/>
      <protection hidden="1"/>
    </xf>
    <xf numFmtId="0" fontId="9" fillId="0" borderId="5" xfId="0" applyFont="1" applyBorder="1" applyAlignment="1" applyProtection="1">
      <alignment wrapText="1"/>
      <protection hidden="1"/>
    </xf>
    <xf numFmtId="0" fontId="0" fillId="0" borderId="0" xfId="0" applyProtection="1">
      <protection hidden="1"/>
    </xf>
    <xf numFmtId="164" fontId="8" fillId="3" borderId="4" xfId="0" applyNumberFormat="1" applyFont="1" applyFill="1" applyBorder="1" applyAlignment="1" applyProtection="1">
      <alignment horizontal="center" wrapText="1"/>
      <protection locked="0" hidden="1"/>
    </xf>
    <xf numFmtId="3" fontId="8" fillId="3" borderId="4" xfId="0" applyNumberFormat="1" applyFont="1" applyFill="1" applyBorder="1" applyAlignment="1" applyProtection="1">
      <alignment wrapText="1"/>
      <protection locked="0" hidden="1"/>
    </xf>
    <xf numFmtId="3" fontId="8" fillId="0" borderId="4" xfId="0" applyNumberFormat="1" applyFont="1" applyFill="1" applyBorder="1" applyAlignment="1" applyProtection="1">
      <alignment wrapText="1"/>
      <protection hidden="1"/>
    </xf>
    <xf numFmtId="0" fontId="8" fillId="0" borderId="6" xfId="0" applyFont="1" applyBorder="1" applyProtection="1">
      <protection hidden="1"/>
    </xf>
    <xf numFmtId="0" fontId="8" fillId="0" borderId="5" xfId="0" applyFont="1" applyBorder="1" applyProtection="1">
      <protection hidden="1"/>
    </xf>
    <xf numFmtId="0" fontId="8" fillId="0" borderId="5" xfId="0" applyFont="1" applyFill="1" applyBorder="1" applyProtection="1">
      <protection hidden="1"/>
    </xf>
    <xf numFmtId="164" fontId="8" fillId="0" borderId="4" xfId="0" applyNumberFormat="1" applyFont="1" applyFill="1" applyBorder="1" applyProtection="1">
      <protection hidden="1"/>
    </xf>
    <xf numFmtId="0" fontId="0" fillId="0" borderId="0" xfId="0" applyAlignment="1">
      <alignment wrapText="1"/>
    </xf>
    <xf numFmtId="0" fontId="10" fillId="2" borderId="4" xfId="0" applyFont="1" applyFill="1" applyBorder="1" applyAlignment="1" applyProtection="1">
      <alignment horizontal="left"/>
      <protection hidden="1"/>
    </xf>
    <xf numFmtId="0" fontId="10" fillId="2" borderId="5" xfId="0" applyFont="1" applyFill="1" applyBorder="1" applyAlignment="1" applyProtection="1">
      <alignment horizontal="left"/>
      <protection hidden="1"/>
    </xf>
    <xf numFmtId="0" fontId="10" fillId="2" borderId="13" xfId="0" applyFont="1" applyFill="1" applyBorder="1" applyAlignment="1" applyProtection="1">
      <alignment horizontal="left"/>
      <protection hidden="1"/>
    </xf>
    <xf numFmtId="0" fontId="10" fillId="2" borderId="6" xfId="0" applyFont="1" applyFill="1" applyBorder="1" applyAlignment="1" applyProtection="1">
      <alignment horizontal="left"/>
      <protection hidden="1"/>
    </xf>
    <xf numFmtId="0" fontId="8" fillId="0" borderId="5" xfId="0" applyFont="1" applyBorder="1" applyAlignment="1" applyProtection="1">
      <alignment horizontal="centerContinuous"/>
      <protection hidden="1"/>
    </xf>
    <xf numFmtId="0" fontId="8" fillId="0" borderId="6" xfId="0" applyFont="1" applyBorder="1" applyAlignment="1" applyProtection="1">
      <alignment horizontal="centerContinuous"/>
      <protection hidden="1"/>
    </xf>
    <xf numFmtId="0" fontId="10" fillId="2" borderId="5" xfId="0" applyFont="1" applyFill="1" applyBorder="1" applyAlignment="1" applyProtection="1">
      <alignment horizontal="centerContinuous"/>
      <protection hidden="1"/>
    </xf>
    <xf numFmtId="0" fontId="10" fillId="2" borderId="13" xfId="0" applyFont="1" applyFill="1" applyBorder="1" applyAlignment="1" applyProtection="1">
      <alignment horizontal="centerContinuous"/>
      <protection hidden="1"/>
    </xf>
    <xf numFmtId="0" fontId="10" fillId="2" borderId="6" xfId="0" applyFont="1" applyFill="1" applyBorder="1" applyAlignment="1" applyProtection="1">
      <alignment horizontal="centerContinuous"/>
      <protection hidden="1"/>
    </xf>
    <xf numFmtId="0" fontId="8" fillId="0" borderId="5" xfId="0" applyFont="1" applyBorder="1" applyAlignment="1" applyProtection="1">
      <alignment horizontal="left" wrapText="1"/>
      <protection hidden="1"/>
    </xf>
    <xf numFmtId="0" fontId="8" fillId="0" borderId="13" xfId="0" applyFont="1" applyBorder="1" applyAlignment="1" applyProtection="1">
      <alignment horizontal="left" wrapText="1"/>
      <protection hidden="1"/>
    </xf>
    <xf numFmtId="0" fontId="8" fillId="0" borderId="6" xfId="0" applyFont="1" applyBorder="1" applyAlignment="1" applyProtection="1">
      <alignment horizontal="left" wrapText="1"/>
      <protection hidden="1"/>
    </xf>
    <xf numFmtId="0" fontId="3" fillId="0" borderId="1" xfId="0" applyFont="1" applyBorder="1" applyAlignment="1">
      <alignment horizontal="centerContinuous" vertical="top" wrapText="1"/>
    </xf>
    <xf numFmtId="0" fontId="5" fillId="0" borderId="0" xfId="0" applyFont="1" applyFill="1" applyBorder="1"/>
    <xf numFmtId="0" fontId="0" fillId="0" borderId="6" xfId="0" applyBorder="1" applyAlignment="1">
      <alignment horizontal="left" wrapText="1"/>
    </xf>
    <xf numFmtId="1" fontId="9" fillId="3" borderId="15" xfId="0" applyNumberFormat="1" applyFont="1" applyFill="1" applyBorder="1" applyAlignment="1" applyProtection="1">
      <alignment horizontal="center" wrapText="1"/>
      <protection locked="0" hidden="1"/>
    </xf>
    <xf numFmtId="1" fontId="9" fillId="3" borderId="9" xfId="0" applyNumberFormat="1" applyFont="1" applyFill="1" applyBorder="1" applyAlignment="1" applyProtection="1">
      <alignment horizontal="center" wrapText="1"/>
      <protection locked="0" hidden="1"/>
    </xf>
    <xf numFmtId="1" fontId="9" fillId="3" borderId="11" xfId="0" applyNumberFormat="1" applyFont="1" applyFill="1" applyBorder="1" applyAlignment="1" applyProtection="1">
      <alignment horizontal="center" wrapText="1"/>
      <protection locked="0" hidden="1"/>
    </xf>
    <xf numFmtId="0" fontId="15" fillId="0" borderId="0" xfId="0" applyFont="1" applyAlignment="1"/>
    <xf numFmtId="0" fontId="1" fillId="0" borderId="0" xfId="0" applyFont="1"/>
    <xf numFmtId="0" fontId="15" fillId="0" borderId="0" xfId="0" applyFont="1" applyAlignment="1">
      <alignment horizontal="center"/>
    </xf>
    <xf numFmtId="0" fontId="1" fillId="0" borderId="18" xfId="0" applyFont="1" applyBorder="1" applyAlignment="1">
      <alignment horizontal="center" wrapText="1"/>
    </xf>
    <xf numFmtId="164" fontId="9" fillId="0" borderId="15" xfId="0" applyNumberFormat="1" applyFont="1" applyBorder="1" applyAlignment="1" applyProtection="1">
      <alignment horizontal="center" wrapText="1"/>
      <protection locked="0"/>
    </xf>
    <xf numFmtId="164" fontId="9" fillId="0" borderId="9" xfId="0" applyNumberFormat="1" applyFont="1" applyBorder="1" applyAlignment="1" applyProtection="1">
      <alignment horizontal="center" wrapText="1"/>
      <protection locked="0"/>
    </xf>
    <xf numFmtId="164" fontId="9" fillId="0" borderId="11" xfId="0" applyNumberFormat="1" applyFont="1" applyBorder="1" applyAlignment="1" applyProtection="1">
      <alignment horizontal="center" wrapText="1"/>
      <protection locked="0"/>
    </xf>
    <xf numFmtId="164" fontId="9" fillId="0" borderId="5" xfId="0" applyNumberFormat="1" applyFont="1" applyBorder="1" applyAlignment="1" applyProtection="1">
      <alignment horizontal="center" wrapText="1"/>
      <protection locked="0"/>
    </xf>
    <xf numFmtId="164" fontId="9" fillId="0" borderId="17" xfId="0" applyNumberFormat="1" applyFont="1" applyBorder="1" applyAlignment="1" applyProtection="1">
      <alignment horizontal="center" wrapText="1"/>
      <protection locked="0"/>
    </xf>
    <xf numFmtId="164" fontId="9" fillId="0" borderId="13" xfId="0" applyNumberFormat="1" applyFont="1" applyBorder="1" applyAlignment="1" applyProtection="1">
      <alignment horizontal="center" wrapText="1"/>
      <protection locked="0"/>
    </xf>
    <xf numFmtId="164" fontId="9" fillId="4" borderId="5" xfId="0" applyNumberFormat="1" applyFont="1" applyFill="1" applyBorder="1" applyAlignment="1" applyProtection="1">
      <alignment horizontal="center" wrapText="1"/>
      <protection locked="0"/>
    </xf>
    <xf numFmtId="164" fontId="9" fillId="4" borderId="17" xfId="0" applyNumberFormat="1" applyFont="1" applyFill="1" applyBorder="1" applyAlignment="1" applyProtection="1">
      <alignment horizontal="center" wrapText="1"/>
      <protection locked="0"/>
    </xf>
    <xf numFmtId="0" fontId="9" fillId="0" borderId="5" xfId="0" applyFont="1" applyBorder="1" applyAlignment="1" applyProtection="1">
      <alignment horizontal="left" vertical="center" wrapText="1"/>
      <protection hidden="1"/>
    </xf>
    <xf numFmtId="3" fontId="8" fillId="3" borderId="4" xfId="0" applyNumberFormat="1" applyFont="1" applyFill="1" applyBorder="1" applyAlignment="1" applyProtection="1">
      <alignment horizontal="center" wrapText="1"/>
      <protection locked="0" hidden="1"/>
    </xf>
    <xf numFmtId="0" fontId="9" fillId="0" borderId="14" xfId="0" applyFont="1" applyBorder="1" applyAlignment="1" applyProtection="1">
      <alignment horizontal="left" vertical="center" wrapText="1"/>
      <protection hidden="1"/>
    </xf>
    <xf numFmtId="0" fontId="9" fillId="0" borderId="14" xfId="0" applyFont="1" applyBorder="1" applyAlignment="1" applyProtection="1">
      <alignment horizontal="left" wrapText="1"/>
      <protection hidden="1"/>
    </xf>
    <xf numFmtId="0" fontId="9" fillId="0" borderId="4" xfId="0" applyFont="1" applyBorder="1" applyAlignment="1" applyProtection="1">
      <alignment horizontal="left" vertical="center" wrapText="1"/>
      <protection hidden="1"/>
    </xf>
    <xf numFmtId="0" fontId="9" fillId="0" borderId="5" xfId="0" applyFont="1" applyBorder="1" applyAlignment="1" applyProtection="1">
      <alignment horizontal="right" wrapText="1"/>
      <protection hidden="1"/>
    </xf>
    <xf numFmtId="0" fontId="9" fillId="3" borderId="15" xfId="0" applyFont="1" applyFill="1" applyBorder="1" applyAlignment="1" applyProtection="1">
      <alignment horizontal="center" wrapText="1"/>
      <protection locked="0" hidden="1"/>
    </xf>
    <xf numFmtId="0" fontId="14" fillId="3" borderId="15" xfId="0" applyFont="1" applyFill="1" applyBorder="1" applyAlignment="1" applyProtection="1">
      <alignment horizontal="center" wrapText="1"/>
      <protection locked="0" hidden="1"/>
    </xf>
    <xf numFmtId="0" fontId="9" fillId="3" borderId="4" xfId="0" applyFont="1" applyFill="1" applyBorder="1" applyAlignment="1" applyProtection="1">
      <alignment wrapText="1"/>
      <protection locked="0" hidden="1"/>
    </xf>
    <xf numFmtId="0" fontId="9" fillId="3" borderId="4" xfId="0" applyFont="1" applyFill="1" applyBorder="1" applyAlignment="1" applyProtection="1">
      <alignment horizontal="center" wrapText="1"/>
      <protection locked="0" hidden="1"/>
    </xf>
    <xf numFmtId="164" fontId="10" fillId="0" borderId="4" xfId="0" applyNumberFormat="1" applyFont="1" applyBorder="1" applyAlignment="1" applyProtection="1">
      <alignment wrapText="1"/>
      <protection hidden="1"/>
    </xf>
    <xf numFmtId="0" fontId="10" fillId="2" borderId="4" xfId="0" applyFont="1" applyFill="1" applyBorder="1" applyAlignment="1" applyProtection="1">
      <alignment horizontal="right" vertical="center" wrapText="1"/>
      <protection hidden="1"/>
    </xf>
    <xf numFmtId="0" fontId="9" fillId="0" borderId="4" xfId="0" applyFont="1" applyBorder="1" applyAlignment="1" applyProtection="1">
      <alignment vertical="center" wrapText="1"/>
      <protection hidden="1"/>
    </xf>
    <xf numFmtId="0" fontId="10" fillId="2" borderId="4" xfId="0" applyFont="1" applyFill="1" applyBorder="1" applyAlignment="1" applyProtection="1">
      <alignment vertical="center" wrapText="1"/>
      <protection hidden="1"/>
    </xf>
    <xf numFmtId="0" fontId="2" fillId="0" borderId="2" xfId="0" applyFont="1" applyBorder="1" applyAlignment="1">
      <alignment vertical="top" wrapText="1"/>
    </xf>
    <xf numFmtId="0" fontId="1" fillId="0" borderId="3" xfId="0" applyFont="1" applyBorder="1" applyAlignment="1">
      <alignment vertical="top" wrapText="1"/>
    </xf>
    <xf numFmtId="0" fontId="1" fillId="0" borderId="1" xfId="0" applyFont="1" applyBorder="1" applyAlignment="1">
      <alignment horizontal="center" vertical="center" wrapText="1"/>
    </xf>
    <xf numFmtId="0" fontId="1" fillId="0" borderId="1" xfId="0" applyFont="1" applyBorder="1"/>
    <xf numFmtId="2" fontId="1" fillId="0" borderId="1" xfId="0" applyNumberFormat="1" applyFont="1" applyBorder="1" applyAlignment="1">
      <alignment horizontal="right"/>
    </xf>
    <xf numFmtId="0" fontId="1" fillId="0" borderId="1" xfId="0" applyFont="1" applyFill="1" applyBorder="1"/>
    <xf numFmtId="0" fontId="2" fillId="0" borderId="1" xfId="0" applyFont="1" applyBorder="1"/>
    <xf numFmtId="0" fontId="1" fillId="0" borderId="1" xfId="0" applyFont="1" applyBorder="1" applyProtection="1">
      <protection locked="0"/>
    </xf>
    <xf numFmtId="2" fontId="1" fillId="0" borderId="1" xfId="0" applyNumberFormat="1" applyFont="1" applyBorder="1" applyProtection="1">
      <protection locked="0"/>
    </xf>
    <xf numFmtId="0" fontId="1" fillId="0" borderId="1" xfId="0" applyNumberFormat="1" applyFont="1" applyFill="1" applyBorder="1"/>
    <xf numFmtId="0" fontId="1" fillId="0" borderId="1" xfId="0" applyNumberFormat="1" applyFont="1" applyBorder="1" applyProtection="1">
      <protection locked="0"/>
    </xf>
    <xf numFmtId="0" fontId="1" fillId="0" borderId="1" xfId="0" applyFont="1" applyBorder="1" applyAlignment="1">
      <alignment horizontal="left"/>
    </xf>
    <xf numFmtId="0" fontId="9" fillId="0" borderId="4" xfId="0" applyFont="1" applyBorder="1" applyAlignment="1" applyProtection="1">
      <alignment horizontal="left" wrapText="1"/>
      <protection locked="0"/>
    </xf>
    <xf numFmtId="164" fontId="9" fillId="0" borderId="16" xfId="0" applyNumberFormat="1" applyFont="1" applyBorder="1" applyProtection="1">
      <protection locked="0"/>
    </xf>
    <xf numFmtId="0" fontId="1" fillId="0" borderId="0" xfId="0" applyFont="1" applyBorder="1" applyAlignment="1" applyProtection="1">
      <alignment horizontal="center" wrapText="1"/>
      <protection locked="0"/>
    </xf>
    <xf numFmtId="0" fontId="9" fillId="0" borderId="8" xfId="0" applyFont="1" applyBorder="1" applyAlignment="1" applyProtection="1">
      <alignment horizontal="center" vertical="center" wrapText="1"/>
      <protection locked="0"/>
    </xf>
    <xf numFmtId="0" fontId="9" fillId="0" borderId="0" xfId="0" applyFont="1" applyBorder="1" applyAlignment="1" applyProtection="1">
      <alignment horizontal="center" vertical="center" wrapText="1"/>
      <protection locked="0"/>
    </xf>
    <xf numFmtId="0" fontId="1" fillId="0" borderId="0" xfId="0" applyFont="1" applyAlignment="1">
      <alignment horizontal="center" vertical="center" wrapText="1"/>
    </xf>
    <xf numFmtId="0" fontId="16" fillId="0" borderId="0" xfId="0" applyFont="1" applyAlignment="1">
      <alignment horizontal="center" vertical="center"/>
    </xf>
    <xf numFmtId="0" fontId="15" fillId="0" borderId="0" xfId="0" applyFont="1" applyAlignment="1">
      <alignment horizontal="center"/>
    </xf>
    <xf numFmtId="0" fontId="8" fillId="0" borderId="5" xfId="0" applyFont="1" applyBorder="1" applyAlignment="1" applyProtection="1">
      <alignment horizontal="right"/>
      <protection hidden="1"/>
    </xf>
    <xf numFmtId="0" fontId="8" fillId="0" borderId="13" xfId="0" applyFont="1" applyBorder="1" applyAlignment="1" applyProtection="1">
      <alignment horizontal="right"/>
      <protection hidden="1"/>
    </xf>
    <xf numFmtId="0" fontId="8" fillId="0" borderId="6" xfId="0" applyFont="1" applyBorder="1" applyAlignment="1" applyProtection="1">
      <alignment horizontal="right"/>
      <protection hidden="1"/>
    </xf>
    <xf numFmtId="0" fontId="8" fillId="3" borderId="5" xfId="0" applyFont="1" applyFill="1" applyBorder="1" applyAlignment="1" applyProtection="1">
      <alignment horizontal="center"/>
      <protection locked="0" hidden="1"/>
    </xf>
    <xf numFmtId="0" fontId="8" fillId="3" borderId="6" xfId="0" applyFont="1" applyFill="1" applyBorder="1" applyAlignment="1" applyProtection="1">
      <alignment horizontal="center"/>
      <protection locked="0" hidden="1"/>
    </xf>
    <xf numFmtId="0" fontId="10" fillId="2" borderId="5" xfId="0" applyFont="1" applyFill="1" applyBorder="1" applyAlignment="1" applyProtection="1">
      <alignment horizontal="center"/>
      <protection hidden="1"/>
    </xf>
    <xf numFmtId="0" fontId="10" fillId="2" borderId="6" xfId="0" applyFont="1" applyFill="1" applyBorder="1" applyAlignment="1" applyProtection="1">
      <alignment horizontal="center"/>
      <protection hidden="1"/>
    </xf>
    <xf numFmtId="0" fontId="15" fillId="0" borderId="0" xfId="0" applyFont="1" applyAlignment="1">
      <alignment horizontal="center" vertical="center"/>
    </xf>
    <xf numFmtId="0" fontId="9" fillId="3" borderId="5" xfId="0" applyFont="1" applyFill="1" applyBorder="1" applyAlignment="1" applyProtection="1">
      <alignment horizontal="center"/>
      <protection locked="0" hidden="1"/>
    </xf>
    <xf numFmtId="0" fontId="0" fillId="0" borderId="6" xfId="0" applyBorder="1" applyAlignment="1">
      <alignment horizontal="center"/>
    </xf>
    <xf numFmtId="0" fontId="8" fillId="0" borderId="5" xfId="0" applyFont="1" applyBorder="1" applyAlignment="1" applyProtection="1">
      <alignment horizontal="left" vertical="center" wrapText="1"/>
      <protection hidden="1"/>
    </xf>
    <xf numFmtId="0" fontId="0" fillId="0" borderId="6" xfId="0" applyBorder="1" applyAlignment="1">
      <alignment horizontal="left" vertical="center" wrapText="1"/>
    </xf>
    <xf numFmtId="0" fontId="8" fillId="0" borderId="13" xfId="0" applyFont="1" applyBorder="1" applyAlignment="1" applyProtection="1">
      <alignment horizontal="left" vertical="center" wrapText="1"/>
      <protection hidden="1"/>
    </xf>
    <xf numFmtId="0" fontId="8" fillId="0" borderId="6" xfId="0" applyFont="1" applyBorder="1" applyAlignment="1" applyProtection="1">
      <alignment horizontal="left" vertical="center" wrapText="1"/>
      <protection hidden="1"/>
    </xf>
    <xf numFmtId="0" fontId="10" fillId="0" borderId="5" xfId="0" applyFont="1" applyBorder="1" applyAlignment="1" applyProtection="1">
      <alignment horizontal="left" vertical="center" wrapText="1"/>
      <protection hidden="1"/>
    </xf>
    <xf numFmtId="0" fontId="10" fillId="0" borderId="13" xfId="0" applyFont="1" applyBorder="1" applyAlignment="1" applyProtection="1">
      <alignment horizontal="left" vertical="center" wrapText="1"/>
      <protection hidden="1"/>
    </xf>
    <xf numFmtId="0" fontId="10" fillId="0" borderId="6" xfId="0" applyFont="1" applyBorder="1" applyAlignment="1" applyProtection="1">
      <alignment horizontal="left" vertical="center" wrapText="1"/>
      <protection hidden="1"/>
    </xf>
    <xf numFmtId="0" fontId="10" fillId="2" borderId="5" xfId="0" applyFont="1" applyFill="1" applyBorder="1" applyAlignment="1" applyProtection="1">
      <alignment horizontal="center" vertical="center" wrapText="1"/>
      <protection hidden="1"/>
    </xf>
    <xf numFmtId="0" fontId="10" fillId="2" borderId="13" xfId="0" applyFont="1" applyFill="1" applyBorder="1" applyAlignment="1" applyProtection="1">
      <alignment horizontal="center" vertical="center" wrapText="1"/>
      <protection hidden="1"/>
    </xf>
    <xf numFmtId="0" fontId="10" fillId="2"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left" vertical="center" wrapText="1"/>
      <protection locked="0"/>
    </xf>
    <xf numFmtId="0" fontId="9" fillId="0" borderId="6" xfId="0" applyFont="1" applyBorder="1" applyAlignment="1" applyProtection="1">
      <alignment horizontal="left" vertical="center" wrapText="1"/>
      <protection locked="0"/>
    </xf>
    <xf numFmtId="0" fontId="9" fillId="0" borderId="8" xfId="0" applyFont="1" applyBorder="1" applyAlignment="1" applyProtection="1">
      <alignment horizontal="center" wrapText="1"/>
      <protection hidden="1"/>
    </xf>
    <xf numFmtId="0" fontId="9" fillId="0" borderId="0" xfId="0" applyFont="1" applyBorder="1" applyAlignment="1" applyProtection="1">
      <alignment horizontal="center" wrapText="1"/>
      <protection hidden="1"/>
    </xf>
    <xf numFmtId="0" fontId="10" fillId="2" borderId="5" xfId="0" applyFont="1" applyFill="1" applyBorder="1" applyAlignment="1" applyProtection="1">
      <alignment horizontal="left" wrapText="1"/>
      <protection hidden="1"/>
    </xf>
    <xf numFmtId="0" fontId="10" fillId="2" borderId="13" xfId="0" applyFont="1" applyFill="1" applyBorder="1" applyAlignment="1" applyProtection="1">
      <alignment horizontal="left" wrapText="1"/>
      <protection hidden="1"/>
    </xf>
    <xf numFmtId="0" fontId="10" fillId="2" borderId="6" xfId="0" applyFont="1" applyFill="1" applyBorder="1" applyAlignment="1" applyProtection="1">
      <alignment horizontal="left" wrapText="1"/>
      <protection hidden="1"/>
    </xf>
    <xf numFmtId="0" fontId="10" fillId="2" borderId="5" xfId="0" applyFont="1" applyFill="1" applyBorder="1" applyAlignment="1" applyProtection="1">
      <alignment horizontal="left" vertical="center" wrapText="1"/>
      <protection hidden="1"/>
    </xf>
    <xf numFmtId="0" fontId="10" fillId="2" borderId="13" xfId="0" applyFont="1" applyFill="1" applyBorder="1" applyAlignment="1" applyProtection="1">
      <alignment horizontal="left" vertical="center" wrapText="1"/>
      <protection hidden="1"/>
    </xf>
    <xf numFmtId="0" fontId="10" fillId="2" borderId="6" xfId="0" applyFont="1" applyFill="1" applyBorder="1" applyAlignment="1" applyProtection="1">
      <alignment horizontal="left" vertical="center" wrapText="1"/>
      <protection hidden="1"/>
    </xf>
    <xf numFmtId="0" fontId="9" fillId="0" borderId="5" xfId="0" applyFont="1" applyBorder="1" applyAlignment="1" applyProtection="1">
      <alignment horizontal="left" vertical="center" wrapText="1"/>
      <protection hidden="1"/>
    </xf>
    <xf numFmtId="0" fontId="9" fillId="0" borderId="13" xfId="0" applyFont="1" applyBorder="1" applyAlignment="1" applyProtection="1">
      <alignment horizontal="left" vertical="center" wrapText="1"/>
      <protection hidden="1"/>
    </xf>
    <xf numFmtId="0" fontId="9" fillId="0" borderId="6" xfId="0" applyFont="1" applyBorder="1" applyAlignment="1" applyProtection="1">
      <alignment horizontal="left" vertical="center" wrapText="1"/>
      <protection hidden="1"/>
    </xf>
    <xf numFmtId="0" fontId="9" fillId="0" borderId="8" xfId="0" applyFont="1" applyBorder="1" applyAlignment="1" applyProtection="1">
      <alignment horizontal="center" vertical="center" wrapText="1"/>
      <protection hidden="1"/>
    </xf>
    <xf numFmtId="0" fontId="9" fillId="0" borderId="0" xfId="0" applyFont="1" applyBorder="1" applyAlignment="1" applyProtection="1">
      <alignment horizontal="center" vertical="center" wrapText="1"/>
      <protection hidden="1"/>
    </xf>
    <xf numFmtId="0" fontId="15" fillId="0" borderId="0" xfId="0" applyFont="1" applyAlignment="1" applyProtection="1">
      <alignment horizontal="center" vertical="center"/>
      <protection hidden="1"/>
    </xf>
    <xf numFmtId="0" fontId="15" fillId="0" borderId="0" xfId="0" applyFont="1" applyAlignment="1" applyProtection="1">
      <alignment horizontal="center"/>
      <protection hidden="1"/>
    </xf>
    <xf numFmtId="0" fontId="9" fillId="0" borderId="8" xfId="0" applyFont="1" applyBorder="1" applyAlignment="1">
      <alignment horizontal="center" vertical="top"/>
    </xf>
    <xf numFmtId="0" fontId="9" fillId="0" borderId="0" xfId="0" applyFont="1" applyBorder="1" applyAlignment="1">
      <alignment horizontal="center" vertical="top"/>
    </xf>
    <xf numFmtId="164" fontId="8" fillId="3" borderId="5" xfId="0" applyNumberFormat="1" applyFont="1" applyFill="1" applyBorder="1" applyAlignment="1" applyProtection="1">
      <alignment horizontal="center" wrapText="1"/>
      <protection locked="0" hidden="1"/>
    </xf>
    <xf numFmtId="0" fontId="0" fillId="0" borderId="6" xfId="0" applyBorder="1" applyAlignment="1">
      <alignment horizontal="center" wrapText="1"/>
    </xf>
    <xf numFmtId="44" fontId="10" fillId="2" borderId="5" xfId="1" applyFont="1" applyFill="1" applyBorder="1" applyAlignment="1" applyProtection="1">
      <alignment horizontal="left" vertical="center" wrapText="1"/>
      <protection hidden="1"/>
    </xf>
    <xf numFmtId="44" fontId="10" fillId="2" borderId="13" xfId="1" applyFont="1" applyFill="1" applyBorder="1" applyAlignment="1" applyProtection="1">
      <alignment horizontal="left" vertical="center" wrapText="1"/>
      <protection hidden="1"/>
    </xf>
    <xf numFmtId="44" fontId="10" fillId="2" borderId="6" xfId="1" applyFont="1" applyFill="1" applyBorder="1" applyAlignment="1" applyProtection="1">
      <alignment horizontal="left" vertical="center" wrapText="1"/>
      <protection hidden="1"/>
    </xf>
    <xf numFmtId="164" fontId="10" fillId="2" borderId="5" xfId="0" applyNumberFormat="1" applyFont="1" applyFill="1" applyBorder="1" applyAlignment="1" applyProtection="1">
      <alignment horizontal="left" vertical="center" wrapText="1"/>
      <protection hidden="1"/>
    </xf>
    <xf numFmtId="164" fontId="10" fillId="2" borderId="13" xfId="0" applyNumberFormat="1" applyFont="1" applyFill="1" applyBorder="1" applyAlignment="1" applyProtection="1">
      <alignment horizontal="left" vertical="center" wrapText="1"/>
      <protection hidden="1"/>
    </xf>
    <xf numFmtId="164" fontId="10" fillId="2" borderId="6" xfId="0" applyNumberFormat="1" applyFont="1" applyFill="1" applyBorder="1" applyAlignment="1" applyProtection="1">
      <alignment horizontal="left" vertical="center" wrapText="1"/>
      <protection hidden="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2" fontId="0" fillId="0" borderId="1" xfId="0" applyNumberFormat="1" applyBorder="1"/>
  </cellXfs>
  <cellStyles count="4">
    <cellStyle name="Currency" xfId="1" builtinId="4"/>
    <cellStyle name="Currency 2" xfId="2" xr:uid="{00000000-0005-0000-0000-000001000000}"/>
    <cellStyle name="Normal" xfId="0" builtinId="0"/>
    <cellStyle name="Normal 2" xfId="3" xr:uid="{00000000-0005-0000-0000-00000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3:E33"/>
  <sheetViews>
    <sheetView showGridLines="0" showRowColHeaders="0" tabSelected="1" zoomScaleNormal="100" workbookViewId="0"/>
  </sheetViews>
  <sheetFormatPr defaultRowHeight="12.75" x14ac:dyDescent="0.2"/>
  <cols>
    <col min="1" max="1" width="9.140625" style="86"/>
    <col min="2" max="2" width="43" style="86" bestFit="1" customWidth="1"/>
    <col min="3" max="3" width="12.5703125" style="86" customWidth="1"/>
    <col min="4" max="16384" width="9.140625" style="86"/>
  </cols>
  <sheetData>
    <row r="3" spans="2:5" ht="15.75" x14ac:dyDescent="0.25">
      <c r="B3" s="130" t="s">
        <v>0</v>
      </c>
      <c r="C3" s="130"/>
      <c r="D3" s="85"/>
      <c r="E3" s="85"/>
    </row>
    <row r="4" spans="2:5" ht="15.75" x14ac:dyDescent="0.25">
      <c r="B4" s="130" t="s">
        <v>1</v>
      </c>
      <c r="C4" s="130"/>
      <c r="D4" s="85"/>
      <c r="E4" s="85"/>
    </row>
    <row r="5" spans="2:5" ht="15.75" x14ac:dyDescent="0.25">
      <c r="B5" s="87"/>
      <c r="C5" s="87"/>
      <c r="D5" s="85"/>
      <c r="E5" s="85"/>
    </row>
    <row r="6" spans="2:5" ht="15.75" x14ac:dyDescent="0.25">
      <c r="B6" s="129" t="s">
        <v>2</v>
      </c>
      <c r="C6" s="129"/>
      <c r="D6" s="85"/>
      <c r="E6" s="85"/>
    </row>
    <row r="7" spans="2:5" ht="54.75" customHeight="1" x14ac:dyDescent="0.25">
      <c r="B7" s="128" t="s">
        <v>3</v>
      </c>
      <c r="C7" s="128"/>
      <c r="D7" s="85"/>
      <c r="E7" s="85"/>
    </row>
    <row r="8" spans="2:5" ht="16.5" thickBot="1" x14ac:dyDescent="0.3">
      <c r="B8" s="88"/>
      <c r="C8" s="88"/>
      <c r="D8" s="85"/>
      <c r="E8" s="85"/>
    </row>
    <row r="9" spans="2:5" ht="13.5" thickBot="1" x14ac:dyDescent="0.25">
      <c r="B9" s="67" t="s">
        <v>4</v>
      </c>
      <c r="C9" s="67"/>
    </row>
    <row r="10" spans="2:5" ht="13.5" thickBot="1" x14ac:dyDescent="0.25">
      <c r="B10" s="13" t="s">
        <v>5</v>
      </c>
      <c r="C10" s="14">
        <f>STRUCTURAL!J22</f>
        <v>0</v>
      </c>
    </row>
    <row r="11" spans="2:5" ht="13.5" thickBot="1" x14ac:dyDescent="0.25">
      <c r="B11" s="13" t="s">
        <v>6</v>
      </c>
      <c r="C11" s="14">
        <f>MECHANICAL!E46</f>
        <v>0</v>
      </c>
    </row>
    <row r="12" spans="2:5" ht="13.5" thickBot="1" x14ac:dyDescent="0.25">
      <c r="B12" s="13" t="s">
        <v>7</v>
      </c>
      <c r="C12" s="14">
        <f>PLUMBING!E35</f>
        <v>0</v>
      </c>
    </row>
    <row r="13" spans="2:5" ht="13.5" thickBot="1" x14ac:dyDescent="0.25">
      <c r="B13" s="13" t="s">
        <v>8</v>
      </c>
      <c r="C13" s="14">
        <f>ELECTRICAL!E45</f>
        <v>0</v>
      </c>
    </row>
    <row r="14" spans="2:5" ht="13.5" thickBot="1" x14ac:dyDescent="0.25">
      <c r="B14" s="67" t="s">
        <v>9</v>
      </c>
      <c r="C14" s="67"/>
    </row>
    <row r="15" spans="2:5" ht="13.5" thickBot="1" x14ac:dyDescent="0.25">
      <c r="B15" s="13" t="s">
        <v>10</v>
      </c>
      <c r="C15" s="14">
        <f>SANITATION!E40</f>
        <v>0</v>
      </c>
    </row>
    <row r="16" spans="2:5" ht="13.5" thickBot="1" x14ac:dyDescent="0.25">
      <c r="B16" s="67" t="s">
        <v>11</v>
      </c>
      <c r="C16" s="67"/>
    </row>
    <row r="17" spans="2:3" ht="13.5" thickBot="1" x14ac:dyDescent="0.25">
      <c r="B17" s="13" t="s">
        <v>12</v>
      </c>
      <c r="C17" s="14">
        <f>'LAND USE REVIEW'!D22</f>
        <v>0</v>
      </c>
    </row>
    <row r="18" spans="2:3" ht="13.5" thickBot="1" x14ac:dyDescent="0.25">
      <c r="B18" s="67" t="s">
        <v>13</v>
      </c>
      <c r="C18" s="67"/>
    </row>
    <row r="19" spans="2:3" ht="13.5" thickBot="1" x14ac:dyDescent="0.25">
      <c r="B19" s="13" t="s">
        <v>14</v>
      </c>
      <c r="C19" s="14">
        <f>'CONST. EXCISE TAX'!D18</f>
        <v>0</v>
      </c>
    </row>
    <row r="20" spans="2:3" ht="13.5" thickBot="1" x14ac:dyDescent="0.25">
      <c r="B20" s="67" t="s">
        <v>15</v>
      </c>
      <c r="C20" s="67"/>
    </row>
    <row r="21" spans="2:3" ht="13.5" thickBot="1" x14ac:dyDescent="0.25">
      <c r="B21" s="13" t="s">
        <v>16</v>
      </c>
      <c r="C21" s="14">
        <f>0.12*SUM(STRUCTURAL!J19+MECHANICAL!E43+PLUMBING!E32+ELECTRICAL!E42)</f>
        <v>0</v>
      </c>
    </row>
    <row r="22" spans="2:3" ht="13.5" thickBot="1" x14ac:dyDescent="0.25">
      <c r="B22" s="13" t="s">
        <v>17</v>
      </c>
      <c r="C22" s="14">
        <f>117*SUM(SANITATION!C8:C11,SANITATION!C13:C27,SANITATION!C29:C30,SANITATION!C32:C33,SANITATION!C35:C36)</f>
        <v>0</v>
      </c>
    </row>
    <row r="23" spans="2:3" ht="13.5" thickBot="1" x14ac:dyDescent="0.25">
      <c r="B23" s="67" t="s">
        <v>18</v>
      </c>
      <c r="C23" s="67"/>
    </row>
    <row r="24" spans="2:3" ht="13.5" thickBot="1" x14ac:dyDescent="0.25">
      <c r="B24" s="13" t="s">
        <v>19</v>
      </c>
      <c r="C24" s="14">
        <f>0.15*SUM(C10,C11,C12,C13,C15,C17)</f>
        <v>0</v>
      </c>
    </row>
    <row r="25" spans="2:3" ht="13.5" thickBot="1" x14ac:dyDescent="0.25">
      <c r="B25" s="13" t="s">
        <v>20</v>
      </c>
      <c r="C25" s="14">
        <f>0.13*SUM(C10,C11,C12,C13,C15,C17)</f>
        <v>0</v>
      </c>
    </row>
    <row r="26" spans="2:3" ht="13.5" thickBot="1" x14ac:dyDescent="0.25">
      <c r="B26" s="13" t="s">
        <v>243</v>
      </c>
      <c r="C26" s="14">
        <f>0.01*(STRUCTURAL!J19)</f>
        <v>0</v>
      </c>
    </row>
    <row r="27" spans="2:3" ht="13.5" thickBot="1" x14ac:dyDescent="0.25">
      <c r="B27" s="13" t="s">
        <v>21</v>
      </c>
      <c r="C27" s="14">
        <f>IF(0.08*SUM(C10,C11,C12,C13,C15,C17)&gt;140,140,0.08*SUM(C10,C11,C12,C13,C15,C17))</f>
        <v>0</v>
      </c>
    </row>
    <row r="28" spans="2:3" ht="13.5" thickBot="1" x14ac:dyDescent="0.25">
      <c r="B28" s="15"/>
      <c r="C28" s="16"/>
    </row>
    <row r="29" spans="2:3" ht="13.5" thickBot="1" x14ac:dyDescent="0.25">
      <c r="B29" s="64" t="s">
        <v>22</v>
      </c>
      <c r="C29" s="65">
        <f>(STRUCTURAL!J22+SANITATION!E40+'LAND USE REVIEW'!D22)+0.13*(STRUCTURAL!J19+SANITATION!E40+'LAND USE REVIEW'!D22)+0.15*(STRUCTURAL!J19+SANITATION!E40+'LAND USE REVIEW'!D22)+IF(0.02*(STRUCTURAL!J19+SANITATION!E40+'LAND USE REVIEW'!D22)&gt;100,100,0.02*(STRUCTURAL!J19+SANITATION!E40+'LAND USE REVIEW'!D22))+C22</f>
        <v>0</v>
      </c>
    </row>
    <row r="30" spans="2:3" ht="13.5" thickBot="1" x14ac:dyDescent="0.25">
      <c r="B30" s="17" t="s">
        <v>23</v>
      </c>
      <c r="C30" s="18">
        <f>SUM(C10,C11,C12,C13,C15,C17,C19,C21,C22,C24,C25,C26,C27)</f>
        <v>0</v>
      </c>
    </row>
    <row r="31" spans="2:3" x14ac:dyDescent="0.2">
      <c r="B31" s="126" t="s">
        <v>246</v>
      </c>
      <c r="C31" s="126"/>
    </row>
    <row r="32" spans="2:3" ht="63.75" customHeight="1" x14ac:dyDescent="0.2">
      <c r="B32" s="127"/>
      <c r="C32" s="127"/>
    </row>
    <row r="33" spans="2:3" x14ac:dyDescent="0.2">
      <c r="B33" s="125"/>
      <c r="C33" s="125"/>
    </row>
  </sheetData>
  <mergeCells count="6">
    <mergeCell ref="B33:C33"/>
    <mergeCell ref="B31:C32"/>
    <mergeCell ref="B7:C7"/>
    <mergeCell ref="B6:C6"/>
    <mergeCell ref="B3:C3"/>
    <mergeCell ref="B4:C4"/>
  </mergeCells>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N84"/>
  <sheetViews>
    <sheetView showGridLines="0" zoomScaleNormal="100" workbookViewId="0">
      <selection activeCell="B3" sqref="B3:J3"/>
    </sheetView>
  </sheetViews>
  <sheetFormatPr defaultRowHeight="12.75" x14ac:dyDescent="0.2"/>
  <cols>
    <col min="2" max="2" width="13.140625" customWidth="1"/>
    <col min="3" max="3" width="30.7109375" customWidth="1"/>
    <col min="4" max="4" width="6" customWidth="1"/>
    <col min="5" max="5" width="49.140625" customWidth="1"/>
    <col min="6" max="6" width="13.140625" customWidth="1"/>
    <col min="7" max="7" width="2.140625" customWidth="1"/>
    <col min="8" max="8" width="10.42578125" customWidth="1"/>
    <col min="9" max="9" width="2.140625" customWidth="1"/>
    <col min="10" max="10" width="14.140625" customWidth="1"/>
  </cols>
  <sheetData>
    <row r="1" spans="2:14" ht="15.75" x14ac:dyDescent="0.25">
      <c r="B1" s="1"/>
      <c r="C1" s="1"/>
      <c r="D1" s="1"/>
      <c r="E1" s="1"/>
      <c r="F1" s="1"/>
      <c r="G1" s="1"/>
      <c r="H1" s="1"/>
      <c r="I1" s="1"/>
      <c r="J1" s="1"/>
      <c r="K1" s="1"/>
      <c r="L1" s="1"/>
      <c r="M1" s="1"/>
      <c r="N1" s="1"/>
    </row>
    <row r="2" spans="2:14" ht="15.75" x14ac:dyDescent="0.25">
      <c r="B2" s="1"/>
      <c r="C2" s="1"/>
      <c r="D2" s="1"/>
      <c r="E2" s="1"/>
      <c r="F2" s="1"/>
      <c r="G2" s="1"/>
      <c r="H2" s="1"/>
      <c r="I2" s="1"/>
      <c r="J2" s="1"/>
      <c r="K2" s="1"/>
      <c r="L2" s="1"/>
      <c r="M2" s="1"/>
      <c r="N2" s="1"/>
    </row>
    <row r="3" spans="2:14" ht="15.75" x14ac:dyDescent="0.25">
      <c r="B3" s="138" t="s">
        <v>0</v>
      </c>
      <c r="C3" s="138"/>
      <c r="D3" s="138"/>
      <c r="E3" s="138"/>
      <c r="F3" s="138"/>
      <c r="G3" s="138"/>
      <c r="H3" s="138"/>
      <c r="I3" s="138"/>
      <c r="J3" s="138"/>
      <c r="K3" s="1"/>
      <c r="L3" s="1"/>
      <c r="M3" s="1"/>
      <c r="N3" s="1"/>
    </row>
    <row r="4" spans="2:14" ht="15.75" x14ac:dyDescent="0.25">
      <c r="B4" s="138" t="s">
        <v>24</v>
      </c>
      <c r="C4" s="138"/>
      <c r="D4" s="138"/>
      <c r="E4" s="138"/>
      <c r="F4" s="138"/>
      <c r="G4" s="138"/>
      <c r="H4" s="138"/>
      <c r="I4" s="138"/>
      <c r="J4" s="138"/>
      <c r="K4" s="1"/>
      <c r="L4" s="1"/>
      <c r="M4" s="1"/>
      <c r="N4" s="1"/>
    </row>
    <row r="5" spans="2:14" ht="16.5" thickBot="1" x14ac:dyDescent="0.3">
      <c r="B5" s="1"/>
      <c r="C5" s="1"/>
      <c r="D5" s="1"/>
      <c r="E5" s="1"/>
      <c r="F5" s="1"/>
      <c r="G5" s="1"/>
      <c r="H5" s="1"/>
      <c r="I5" s="1"/>
      <c r="J5" s="1"/>
      <c r="K5" s="1"/>
      <c r="L5" s="1"/>
      <c r="M5" s="1"/>
      <c r="N5" s="1"/>
    </row>
    <row r="6" spans="2:14" ht="16.5" thickBot="1" x14ac:dyDescent="0.3">
      <c r="B6" s="68" t="s">
        <v>25</v>
      </c>
      <c r="C6" s="69"/>
      <c r="D6" s="69"/>
      <c r="E6" s="69"/>
      <c r="F6" s="69"/>
      <c r="G6" s="69"/>
      <c r="H6" s="69"/>
      <c r="I6" s="69"/>
      <c r="J6" s="70"/>
      <c r="K6" s="1"/>
      <c r="L6" s="1"/>
      <c r="M6" s="1"/>
      <c r="N6" s="1"/>
    </row>
    <row r="7" spans="2:14" ht="16.5" thickBot="1" x14ac:dyDescent="0.3">
      <c r="B7" s="19"/>
      <c r="C7" s="20"/>
      <c r="D7" s="20"/>
      <c r="E7" s="21"/>
      <c r="F7" s="20"/>
      <c r="G7" s="20"/>
      <c r="H7" s="20"/>
      <c r="I7" s="22" t="s">
        <v>26</v>
      </c>
      <c r="J7" s="23"/>
      <c r="K7" s="1"/>
      <c r="L7" s="1"/>
      <c r="M7" s="1"/>
      <c r="N7" s="1"/>
    </row>
    <row r="8" spans="2:14" ht="16.5" thickBot="1" x14ac:dyDescent="0.3">
      <c r="B8" s="68" t="s">
        <v>27</v>
      </c>
      <c r="C8" s="69"/>
      <c r="D8" s="69"/>
      <c r="E8" s="69"/>
      <c r="F8" s="69"/>
      <c r="G8" s="69"/>
      <c r="H8" s="69"/>
      <c r="I8" s="69"/>
      <c r="J8" s="70"/>
      <c r="K8" s="1"/>
      <c r="L8" s="1"/>
      <c r="M8" s="1"/>
      <c r="N8" s="1"/>
    </row>
    <row r="9" spans="2:14" ht="16.5" thickBot="1" x14ac:dyDescent="0.3">
      <c r="B9" s="13"/>
      <c r="C9" s="71" t="s">
        <v>28</v>
      </c>
      <c r="D9" s="72"/>
      <c r="E9" s="24" t="s">
        <v>29</v>
      </c>
      <c r="F9" s="63" t="s">
        <v>30</v>
      </c>
      <c r="G9" s="62"/>
      <c r="H9" s="17" t="s">
        <v>31</v>
      </c>
      <c r="I9" s="63"/>
      <c r="J9" s="62" t="s">
        <v>32</v>
      </c>
      <c r="K9" s="1"/>
      <c r="L9" s="1"/>
      <c r="M9" s="1"/>
      <c r="N9" s="1"/>
    </row>
    <row r="10" spans="2:14" ht="16.5" thickBot="1" x14ac:dyDescent="0.3">
      <c r="B10" s="24" t="s">
        <v>33</v>
      </c>
      <c r="C10" s="139"/>
      <c r="D10" s="140"/>
      <c r="E10" s="25"/>
      <c r="F10" s="26">
        <f>IF(OR(C10=0,E10=0),0,INDEX('Formula Data'!D6:L33,MATCH(STRUCTURAL!C10,UseDesignations,0),MATCH(STRUCTURAL!E10,ConstTypes,0)))</f>
        <v>0</v>
      </c>
      <c r="G10" s="27" t="s">
        <v>34</v>
      </c>
      <c r="H10" s="25"/>
      <c r="I10" s="28" t="s">
        <v>35</v>
      </c>
      <c r="J10" s="29">
        <f>SUM(F10*H10)</f>
        <v>0</v>
      </c>
      <c r="K10" s="1"/>
      <c r="L10" s="1"/>
      <c r="M10" s="1"/>
      <c r="N10" s="1"/>
    </row>
    <row r="11" spans="2:14" ht="16.5" thickBot="1" x14ac:dyDescent="0.3">
      <c r="B11" s="24" t="s">
        <v>36</v>
      </c>
      <c r="C11" s="139"/>
      <c r="D11" s="140"/>
      <c r="E11" s="25"/>
      <c r="F11" s="26">
        <f>IF(OR(C11=0,E11=0),0,INDEX('Formula Data'!D6:L33,MATCH(STRUCTURAL!C11,UseDesignations,0),MATCH(STRUCTURAL!E11,ConstTypes,0)))</f>
        <v>0</v>
      </c>
      <c r="G11" s="27" t="s">
        <v>34</v>
      </c>
      <c r="H11" s="25"/>
      <c r="I11" s="28" t="s">
        <v>35</v>
      </c>
      <c r="J11" s="29">
        <f>F11*H11</f>
        <v>0</v>
      </c>
      <c r="K11" s="1"/>
      <c r="L11" s="1"/>
      <c r="M11" s="1"/>
      <c r="N11" s="1"/>
    </row>
    <row r="12" spans="2:14" ht="16.5" thickBot="1" x14ac:dyDescent="0.3">
      <c r="B12" s="24" t="s">
        <v>37</v>
      </c>
      <c r="C12" s="139"/>
      <c r="D12" s="140"/>
      <c r="E12" s="25"/>
      <c r="F12" s="26">
        <f>IF(OR(C12=0,E12=0),0,INDEX('Formula Data'!D6:L33,MATCH(STRUCTURAL!C12,UseDesignations,0),MATCH(STRUCTURAL!E12,ConstTypes,0)))</f>
        <v>0</v>
      </c>
      <c r="G12" s="27" t="s">
        <v>34</v>
      </c>
      <c r="H12" s="25"/>
      <c r="I12" s="28" t="s">
        <v>35</v>
      </c>
      <c r="J12" s="29">
        <f>F12*H12</f>
        <v>0</v>
      </c>
      <c r="K12" s="1"/>
      <c r="L12" s="1"/>
      <c r="M12" s="1"/>
      <c r="N12" s="1"/>
    </row>
    <row r="13" spans="2:14" ht="16.5" thickBot="1" x14ac:dyDescent="0.3">
      <c r="B13" s="24" t="s">
        <v>38</v>
      </c>
      <c r="C13" s="139"/>
      <c r="D13" s="140"/>
      <c r="E13" s="25"/>
      <c r="F13" s="26">
        <f>IF(OR(C13=0,E13=0),0,INDEX('Formula Data'!D6:L33,MATCH(STRUCTURAL!C13,UseDesignations,0),MATCH(STRUCTURAL!E13,ConstTypes,0)))</f>
        <v>0</v>
      </c>
      <c r="G13" s="27" t="s">
        <v>34</v>
      </c>
      <c r="H13" s="25"/>
      <c r="I13" s="28" t="s">
        <v>35</v>
      </c>
      <c r="J13" s="29">
        <f>F13*H13</f>
        <v>0</v>
      </c>
      <c r="K13" s="1"/>
      <c r="L13" s="1"/>
      <c r="M13" s="1"/>
      <c r="N13" s="1"/>
    </row>
    <row r="14" spans="2:14" ht="16.5" thickBot="1" x14ac:dyDescent="0.3">
      <c r="B14" s="24" t="s">
        <v>39</v>
      </c>
      <c r="C14" s="139"/>
      <c r="D14" s="140"/>
      <c r="E14" s="25"/>
      <c r="F14" s="26">
        <f>IF(OR(C14=0,E14=0),0,INDEX('Formula Data'!D6:L33,MATCH(STRUCTURAL!C14,UseDesignations,0),MATCH(STRUCTURAL!E14,ConstTypes,0)))</f>
        <v>0</v>
      </c>
      <c r="G14" s="27" t="s">
        <v>34</v>
      </c>
      <c r="H14" s="25"/>
      <c r="I14" s="28" t="s">
        <v>35</v>
      </c>
      <c r="J14" s="29">
        <f>F14*H14</f>
        <v>0</v>
      </c>
      <c r="K14" s="1"/>
      <c r="L14" s="1"/>
      <c r="M14" s="1"/>
      <c r="N14" s="1"/>
    </row>
    <row r="15" spans="2:14" ht="16.5" thickBot="1" x14ac:dyDescent="0.3">
      <c r="B15" s="30"/>
      <c r="C15" s="31"/>
      <c r="D15" s="31"/>
      <c r="E15" s="31"/>
      <c r="F15" s="31"/>
      <c r="G15" s="31"/>
      <c r="H15" s="31"/>
      <c r="I15" s="32" t="s">
        <v>40</v>
      </c>
      <c r="J15" s="33">
        <f>SUM(J10:J14)</f>
        <v>0</v>
      </c>
      <c r="K15" s="1"/>
      <c r="L15" s="1"/>
      <c r="M15" s="1"/>
      <c r="N15" s="1"/>
    </row>
    <row r="16" spans="2:14" ht="13.5" thickBot="1" x14ac:dyDescent="0.25">
      <c r="B16" s="68" t="s">
        <v>41</v>
      </c>
      <c r="C16" s="69"/>
      <c r="D16" s="69"/>
      <c r="E16" s="69"/>
      <c r="F16" s="69"/>
      <c r="G16" s="69"/>
      <c r="H16" s="69"/>
      <c r="I16" s="69"/>
      <c r="J16" s="70"/>
    </row>
    <row r="17" spans="2:14" ht="16.5" thickBot="1" x14ac:dyDescent="0.3">
      <c r="B17" s="34"/>
      <c r="C17" s="31"/>
      <c r="D17" s="31"/>
      <c r="E17" s="35"/>
      <c r="F17" s="31"/>
      <c r="G17" s="31"/>
      <c r="H17" s="35"/>
      <c r="I17" s="32" t="s">
        <v>42</v>
      </c>
      <c r="J17" s="36">
        <f>IF(J7&gt;J15, J7, J15)</f>
        <v>0</v>
      </c>
      <c r="K17" s="1"/>
      <c r="L17" s="1"/>
      <c r="M17" s="1"/>
      <c r="N17" s="1"/>
    </row>
    <row r="18" spans="2:14" ht="16.5" thickBot="1" x14ac:dyDescent="0.3">
      <c r="B18" s="73" t="s">
        <v>43</v>
      </c>
      <c r="C18" s="74"/>
      <c r="D18" s="74"/>
      <c r="E18" s="74"/>
      <c r="F18" s="74"/>
      <c r="G18" s="74"/>
      <c r="H18" s="136" t="s">
        <v>250</v>
      </c>
      <c r="I18" s="137"/>
      <c r="J18" s="75"/>
      <c r="K18" s="1"/>
      <c r="L18" s="1"/>
      <c r="M18" s="1"/>
      <c r="N18" s="1"/>
    </row>
    <row r="19" spans="2:14" ht="16.5" thickBot="1" x14ac:dyDescent="0.3">
      <c r="B19" s="131" t="s">
        <v>44</v>
      </c>
      <c r="C19" s="132"/>
      <c r="D19" s="132"/>
      <c r="E19" s="132"/>
      <c r="F19" s="132"/>
      <c r="G19" s="133"/>
      <c r="H19" s="134" t="s">
        <v>188</v>
      </c>
      <c r="I19" s="135"/>
      <c r="J19" s="29">
        <f>IF(OR(H19="NO",ISBLANK(H19),J17=0),0,IF(J17&lt;500.01,100,IF(AND(500&lt;J17,J17&lt;2000.01),103+7*(ROUNDUP((J17-500)/100,0)),IF(AND(2000&lt;J17,J17&lt;25000.01),196+13*(ROUNDUP((J17-2000)/1000,0)),IF(AND(25000&lt;J17,J17&lt;50000.01),480+10*(ROUNDUP((J17-25000)/1000,0)),IF(AND(50000&lt;J17,J17&lt;100000.01),711+7*(ROUNDUP((J17-50000)/1000,0)),IF(100000&lt;J17,1019+6*(ROUNDUP((J17-100000)/1000,0)),ERROR)))))))</f>
        <v>0</v>
      </c>
      <c r="K19" s="1"/>
      <c r="L19" s="1"/>
      <c r="M19" s="1"/>
      <c r="N19" s="1"/>
    </row>
    <row r="20" spans="2:14" ht="16.5" thickBot="1" x14ac:dyDescent="0.3">
      <c r="B20" s="131" t="s">
        <v>45</v>
      </c>
      <c r="C20" s="132"/>
      <c r="D20" s="132"/>
      <c r="E20" s="132"/>
      <c r="F20" s="132"/>
      <c r="G20" s="133"/>
      <c r="H20" s="134" t="s">
        <v>188</v>
      </c>
      <c r="I20" s="135"/>
      <c r="J20" s="29">
        <f>IF(H20="NO",0,(J19*0.65))</f>
        <v>0</v>
      </c>
      <c r="K20" s="1"/>
      <c r="L20" s="1"/>
      <c r="M20" s="1"/>
      <c r="N20" s="1"/>
    </row>
    <row r="21" spans="2:14" ht="16.5" thickBot="1" x14ac:dyDescent="0.3">
      <c r="B21" s="131" t="s">
        <v>47</v>
      </c>
      <c r="C21" s="132"/>
      <c r="D21" s="132"/>
      <c r="E21" s="132"/>
      <c r="F21" s="132"/>
      <c r="G21" s="133"/>
      <c r="H21" s="134" t="s">
        <v>188</v>
      </c>
      <c r="I21" s="135"/>
      <c r="J21" s="29">
        <f>IF(H21="NO",0,(J19*0.4))</f>
        <v>0</v>
      </c>
      <c r="K21" s="1"/>
      <c r="L21" s="1"/>
      <c r="M21" s="1"/>
      <c r="N21" s="1"/>
    </row>
    <row r="22" spans="2:14" ht="16.5" thickBot="1" x14ac:dyDescent="0.3">
      <c r="B22" s="131" t="s">
        <v>48</v>
      </c>
      <c r="C22" s="132"/>
      <c r="D22" s="132"/>
      <c r="E22" s="132"/>
      <c r="F22" s="132"/>
      <c r="G22" s="132"/>
      <c r="H22" s="132"/>
      <c r="I22" s="133"/>
      <c r="J22" s="37">
        <f>SUM(J19:J21)</f>
        <v>0</v>
      </c>
      <c r="K22" s="1"/>
      <c r="L22" s="1"/>
      <c r="M22" s="1"/>
      <c r="N22" s="1"/>
    </row>
    <row r="23" spans="2:14" ht="15.75" x14ac:dyDescent="0.25">
      <c r="B23" s="1"/>
      <c r="E23" s="1"/>
      <c r="F23" s="1"/>
      <c r="G23" s="1"/>
      <c r="H23" s="1"/>
      <c r="I23" s="1"/>
      <c r="J23" s="1"/>
      <c r="K23" s="1"/>
      <c r="L23" s="1"/>
      <c r="M23" s="1"/>
      <c r="N23" s="1"/>
    </row>
    <row r="24" spans="2:14" ht="15.75" x14ac:dyDescent="0.25">
      <c r="B24" s="1"/>
      <c r="E24" s="1"/>
      <c r="F24" s="1"/>
      <c r="G24" s="1"/>
      <c r="H24" s="1"/>
      <c r="I24" s="1"/>
      <c r="J24" s="1"/>
      <c r="K24" s="1"/>
      <c r="L24" s="1"/>
      <c r="M24" s="1"/>
      <c r="N24" s="1"/>
    </row>
    <row r="25" spans="2:14" ht="15.75" x14ac:dyDescent="0.25">
      <c r="B25" s="1"/>
      <c r="E25" s="1"/>
      <c r="F25" s="1"/>
      <c r="G25" s="1"/>
      <c r="H25" s="1"/>
      <c r="I25" s="1"/>
      <c r="J25" s="1"/>
      <c r="K25" s="1"/>
      <c r="L25" s="1"/>
      <c r="M25" s="1"/>
      <c r="N25" s="1"/>
    </row>
    <row r="26" spans="2:14" ht="15.75" x14ac:dyDescent="0.25">
      <c r="B26" s="1"/>
      <c r="E26" s="1"/>
      <c r="F26" s="1"/>
      <c r="G26" s="1"/>
      <c r="H26" s="1"/>
      <c r="I26" s="1"/>
      <c r="J26" s="1"/>
      <c r="K26" s="1"/>
      <c r="L26" s="1"/>
      <c r="M26" s="1"/>
      <c r="N26" s="1"/>
    </row>
    <row r="27" spans="2:14" ht="15.75" x14ac:dyDescent="0.25">
      <c r="B27" s="1"/>
      <c r="E27" s="1"/>
      <c r="F27" s="1"/>
      <c r="G27" s="1"/>
      <c r="H27" s="1"/>
      <c r="I27" s="1"/>
      <c r="J27" s="1"/>
      <c r="K27" s="1"/>
      <c r="L27" s="1"/>
      <c r="M27" s="1"/>
      <c r="N27" s="1"/>
    </row>
    <row r="28" spans="2:14" ht="15.75" x14ac:dyDescent="0.25">
      <c r="B28" s="1"/>
      <c r="E28" s="1"/>
      <c r="F28" s="1"/>
      <c r="G28" s="1"/>
      <c r="H28" s="1"/>
      <c r="I28" s="1"/>
      <c r="J28" s="1"/>
      <c r="K28" s="1"/>
      <c r="L28" s="1"/>
      <c r="M28" s="1"/>
      <c r="N28" s="1"/>
    </row>
    <row r="29" spans="2:14" ht="15.75" x14ac:dyDescent="0.25">
      <c r="B29" s="1"/>
      <c r="E29" s="1"/>
      <c r="F29" s="1"/>
      <c r="G29" s="1"/>
      <c r="H29" s="1"/>
      <c r="I29" s="1"/>
      <c r="J29" s="1"/>
      <c r="K29" s="1"/>
      <c r="L29" s="1"/>
      <c r="M29" s="1"/>
      <c r="N29" s="1"/>
    </row>
    <row r="30" spans="2:14" ht="15.75" x14ac:dyDescent="0.25">
      <c r="B30" s="1"/>
      <c r="E30" s="1"/>
      <c r="F30" s="1"/>
      <c r="G30" s="1"/>
      <c r="H30" s="1"/>
      <c r="I30" s="1"/>
      <c r="J30" s="1"/>
      <c r="K30" s="1"/>
      <c r="L30" s="1"/>
      <c r="M30" s="1"/>
      <c r="N30" s="1"/>
    </row>
    <row r="31" spans="2:14" ht="15.75" x14ac:dyDescent="0.25">
      <c r="B31" s="1"/>
      <c r="E31" s="1"/>
      <c r="F31" s="1"/>
      <c r="G31" s="1"/>
      <c r="H31" s="1"/>
      <c r="I31" s="1"/>
      <c r="J31" s="1"/>
      <c r="K31" s="1"/>
      <c r="L31" s="1"/>
      <c r="M31" s="1"/>
      <c r="N31" s="1"/>
    </row>
    <row r="32" spans="2:14" ht="15.75" x14ac:dyDescent="0.25">
      <c r="B32" s="1"/>
      <c r="E32" s="1"/>
      <c r="F32" s="1"/>
      <c r="G32" s="1"/>
      <c r="H32" s="1"/>
      <c r="I32" s="1"/>
      <c r="J32" s="1"/>
      <c r="K32" s="1"/>
      <c r="L32" s="1"/>
      <c r="M32" s="1"/>
      <c r="N32" s="1"/>
    </row>
    <row r="33" spans="2:14" ht="15.75" x14ac:dyDescent="0.25">
      <c r="B33" s="1"/>
      <c r="E33" s="1"/>
      <c r="F33" s="1"/>
      <c r="G33" s="1"/>
      <c r="H33" s="1"/>
      <c r="I33" s="1"/>
      <c r="J33" s="1"/>
      <c r="K33" s="1"/>
      <c r="L33" s="1"/>
      <c r="M33" s="1"/>
      <c r="N33" s="1"/>
    </row>
    <row r="34" spans="2:14" ht="15.75" x14ac:dyDescent="0.25">
      <c r="B34" s="1"/>
      <c r="E34" s="1"/>
      <c r="F34" s="1"/>
      <c r="G34" s="1"/>
      <c r="H34" s="1"/>
      <c r="I34" s="1"/>
      <c r="J34" s="1"/>
      <c r="K34" s="1"/>
      <c r="L34" s="1"/>
      <c r="M34" s="1"/>
      <c r="N34" s="1"/>
    </row>
    <row r="35" spans="2:14" ht="15.75" x14ac:dyDescent="0.25">
      <c r="B35" s="1"/>
      <c r="C35" s="1"/>
      <c r="D35" s="1"/>
      <c r="E35" s="1"/>
      <c r="F35" s="1"/>
      <c r="G35" s="1"/>
      <c r="H35" s="1"/>
      <c r="I35" s="1"/>
      <c r="J35" s="1"/>
      <c r="K35" s="1"/>
      <c r="L35" s="1"/>
      <c r="M35" s="1"/>
      <c r="N35" s="1"/>
    </row>
    <row r="36" spans="2:14" ht="15.75" x14ac:dyDescent="0.25">
      <c r="B36" s="1"/>
      <c r="C36" s="1"/>
      <c r="D36" s="1"/>
      <c r="E36" s="1"/>
      <c r="F36" s="1"/>
      <c r="G36" s="1"/>
      <c r="H36" s="1"/>
      <c r="I36" s="1"/>
      <c r="J36" s="1"/>
      <c r="K36" s="1"/>
      <c r="L36" s="1"/>
      <c r="M36" s="1"/>
      <c r="N36" s="1"/>
    </row>
    <row r="37" spans="2:14" ht="15.75" x14ac:dyDescent="0.25">
      <c r="B37" s="2"/>
      <c r="C37" s="1"/>
      <c r="D37" s="1"/>
      <c r="E37" s="1"/>
      <c r="F37" s="1"/>
      <c r="G37" s="1"/>
      <c r="H37" s="80"/>
      <c r="I37" s="1"/>
      <c r="J37" s="1"/>
      <c r="K37" s="1"/>
      <c r="L37" s="1"/>
      <c r="M37" s="1"/>
      <c r="N37" s="1"/>
    </row>
    <row r="38" spans="2:14" ht="15.75" x14ac:dyDescent="0.25">
      <c r="B38" s="1"/>
      <c r="C38" s="1"/>
      <c r="D38" s="1"/>
      <c r="E38" s="1"/>
      <c r="F38" s="1"/>
      <c r="G38" s="1"/>
      <c r="H38" s="1"/>
      <c r="I38" s="1"/>
      <c r="J38" s="1"/>
      <c r="K38" s="1"/>
      <c r="L38" s="1"/>
      <c r="M38" s="1"/>
      <c r="N38" s="1"/>
    </row>
    <row r="39" spans="2:14" ht="15.75" x14ac:dyDescent="0.25">
      <c r="B39" s="1"/>
      <c r="C39" s="1"/>
      <c r="D39" s="1"/>
      <c r="E39" s="1"/>
      <c r="F39" s="1"/>
      <c r="G39" s="1"/>
      <c r="H39" s="1"/>
      <c r="I39" s="1"/>
      <c r="J39" s="1"/>
      <c r="K39" s="1"/>
      <c r="L39" s="1"/>
      <c r="M39" s="1"/>
      <c r="N39" s="1"/>
    </row>
    <row r="40" spans="2:14" ht="15.75" x14ac:dyDescent="0.25">
      <c r="B40" s="1"/>
      <c r="C40" s="1"/>
      <c r="D40" s="1"/>
      <c r="E40" s="1"/>
      <c r="F40" s="1"/>
      <c r="G40" s="1"/>
      <c r="H40" s="1"/>
      <c r="I40" s="1"/>
      <c r="J40" s="1"/>
      <c r="K40" s="1"/>
      <c r="L40" s="1"/>
      <c r="M40" s="1"/>
      <c r="N40" s="1"/>
    </row>
    <row r="41" spans="2:14" ht="15.75" x14ac:dyDescent="0.25">
      <c r="B41" s="1"/>
      <c r="C41" s="1"/>
      <c r="D41" s="1"/>
      <c r="E41" s="1"/>
      <c r="F41" s="1"/>
      <c r="G41" s="1"/>
      <c r="H41" s="1"/>
      <c r="I41" s="1"/>
      <c r="J41" s="1"/>
      <c r="K41" s="1"/>
      <c r="L41" s="1"/>
      <c r="M41" s="1"/>
      <c r="N41" s="1"/>
    </row>
    <row r="42" spans="2:14" ht="15.75" x14ac:dyDescent="0.25">
      <c r="B42" s="1"/>
      <c r="C42" s="1"/>
      <c r="D42" s="1"/>
      <c r="E42" s="1"/>
      <c r="F42" s="1"/>
      <c r="G42" s="1"/>
      <c r="H42" s="1"/>
      <c r="I42" s="1"/>
      <c r="J42" s="1"/>
      <c r="K42" s="1"/>
      <c r="L42" s="1"/>
      <c r="M42" s="1"/>
      <c r="N42" s="1"/>
    </row>
    <row r="43" spans="2:14" ht="15.75" x14ac:dyDescent="0.25">
      <c r="B43" s="1"/>
      <c r="C43" s="1"/>
      <c r="D43" s="1"/>
      <c r="E43" s="1"/>
      <c r="F43" s="1"/>
      <c r="G43" s="1"/>
      <c r="H43" s="1"/>
      <c r="I43" s="1"/>
      <c r="J43" s="1"/>
      <c r="K43" s="1"/>
      <c r="L43" s="1"/>
      <c r="M43" s="1"/>
      <c r="N43" s="1"/>
    </row>
    <row r="44" spans="2:14" ht="15.75" x14ac:dyDescent="0.25">
      <c r="B44" s="1"/>
      <c r="C44" s="1"/>
      <c r="D44" s="1"/>
      <c r="E44" s="1"/>
      <c r="F44" s="1"/>
      <c r="G44" s="1"/>
      <c r="H44" s="1"/>
      <c r="I44" s="1"/>
      <c r="J44" s="1"/>
      <c r="K44" s="1"/>
      <c r="L44" s="1"/>
      <c r="M44" s="1"/>
      <c r="N44" s="1"/>
    </row>
    <row r="45" spans="2:14" ht="15.75" x14ac:dyDescent="0.25">
      <c r="B45" s="1"/>
      <c r="C45" s="1"/>
      <c r="D45" s="1"/>
      <c r="E45" s="1"/>
      <c r="F45" s="1"/>
      <c r="G45" s="1"/>
      <c r="H45" s="1"/>
      <c r="I45" s="1"/>
      <c r="J45" s="1"/>
      <c r="K45" s="1"/>
      <c r="L45" s="1"/>
      <c r="M45" s="1"/>
      <c r="N45" s="1"/>
    </row>
    <row r="46" spans="2:14" ht="15.75" x14ac:dyDescent="0.25">
      <c r="B46" s="1"/>
      <c r="C46" s="1"/>
      <c r="D46" s="1"/>
      <c r="E46" s="1"/>
      <c r="F46" s="1"/>
      <c r="G46" s="1"/>
      <c r="H46" s="1"/>
      <c r="I46" s="1"/>
      <c r="J46" s="1"/>
      <c r="K46" s="1"/>
      <c r="L46" s="1"/>
      <c r="M46" s="1"/>
      <c r="N46" s="1"/>
    </row>
    <row r="47" spans="2:14" ht="15.75" x14ac:dyDescent="0.25">
      <c r="B47" s="1"/>
      <c r="C47" s="1"/>
      <c r="D47" s="1"/>
      <c r="E47" s="1"/>
      <c r="F47" s="1"/>
      <c r="G47" s="1"/>
      <c r="H47" s="1"/>
      <c r="I47" s="1"/>
      <c r="J47" s="1"/>
      <c r="K47" s="1"/>
      <c r="L47" s="1"/>
      <c r="M47" s="1"/>
      <c r="N47" s="1"/>
    </row>
    <row r="48" spans="2:14" ht="15.75" x14ac:dyDescent="0.25">
      <c r="B48" s="1"/>
      <c r="C48" s="1"/>
      <c r="D48" s="1"/>
      <c r="E48" s="1"/>
      <c r="F48" s="1"/>
      <c r="G48" s="1"/>
      <c r="H48" s="1"/>
      <c r="I48" s="1"/>
      <c r="J48" s="1"/>
      <c r="K48" s="1"/>
      <c r="L48" s="1"/>
      <c r="M48" s="1"/>
      <c r="N48" s="1"/>
    </row>
    <row r="49" spans="2:14" ht="15.75" x14ac:dyDescent="0.25">
      <c r="B49" s="1"/>
      <c r="C49" s="1"/>
      <c r="D49" s="1"/>
      <c r="E49" s="1"/>
      <c r="F49" s="1"/>
      <c r="G49" s="1"/>
      <c r="H49" s="1"/>
      <c r="I49" s="1"/>
      <c r="J49" s="1"/>
      <c r="K49" s="1"/>
      <c r="L49" s="1"/>
      <c r="M49" s="1"/>
      <c r="N49" s="1"/>
    </row>
    <row r="50" spans="2:14" ht="15.75" x14ac:dyDescent="0.25">
      <c r="B50" s="1"/>
      <c r="C50" s="1"/>
      <c r="D50" s="1"/>
      <c r="E50" s="1"/>
      <c r="F50" s="1"/>
      <c r="G50" s="1"/>
      <c r="H50" s="1"/>
      <c r="I50" s="1"/>
      <c r="J50" s="1"/>
      <c r="K50" s="1"/>
      <c r="L50" s="1"/>
      <c r="M50" s="1"/>
      <c r="N50" s="1"/>
    </row>
    <row r="51" spans="2:14" ht="15.75" x14ac:dyDescent="0.25">
      <c r="B51" s="1"/>
      <c r="C51" s="1"/>
      <c r="D51" s="1"/>
      <c r="E51" s="1"/>
      <c r="F51" s="1"/>
      <c r="G51" s="1"/>
      <c r="H51" s="1"/>
      <c r="I51" s="1"/>
      <c r="J51" s="1"/>
      <c r="K51" s="1"/>
      <c r="L51" s="1"/>
      <c r="M51" s="1"/>
      <c r="N51" s="1"/>
    </row>
    <row r="52" spans="2:14" ht="15.75" x14ac:dyDescent="0.25">
      <c r="B52" s="1"/>
      <c r="C52" s="1"/>
      <c r="D52" s="1"/>
      <c r="E52" s="1"/>
      <c r="F52" s="1"/>
      <c r="G52" s="1"/>
      <c r="H52" s="1"/>
      <c r="I52" s="1"/>
      <c r="J52" s="1"/>
      <c r="K52" s="1"/>
      <c r="L52" s="1"/>
      <c r="M52" s="1"/>
      <c r="N52" s="1"/>
    </row>
    <row r="53" spans="2:14" ht="15.75" x14ac:dyDescent="0.25">
      <c r="B53" s="1"/>
      <c r="C53" s="1"/>
      <c r="D53" s="1"/>
      <c r="E53" s="1"/>
      <c r="F53" s="1"/>
      <c r="G53" s="1"/>
      <c r="H53" s="1"/>
      <c r="I53" s="1"/>
      <c r="J53" s="1"/>
      <c r="K53" s="1"/>
      <c r="L53" s="1"/>
      <c r="M53" s="1"/>
      <c r="N53" s="1"/>
    </row>
    <row r="54" spans="2:14" ht="15.75" x14ac:dyDescent="0.25">
      <c r="B54" s="1"/>
      <c r="C54" s="1"/>
      <c r="D54" s="1"/>
      <c r="E54" s="1"/>
      <c r="F54" s="1"/>
      <c r="G54" s="1"/>
      <c r="H54" s="1"/>
      <c r="I54" s="1"/>
      <c r="J54" s="1"/>
      <c r="K54" s="1"/>
      <c r="L54" s="1"/>
      <c r="M54" s="1"/>
      <c r="N54" s="1"/>
    </row>
    <row r="55" spans="2:14" ht="15.75" x14ac:dyDescent="0.25">
      <c r="B55" s="1"/>
      <c r="C55" s="1"/>
      <c r="D55" s="1"/>
      <c r="E55" s="1"/>
      <c r="F55" s="1"/>
      <c r="G55" s="1"/>
      <c r="H55" s="1"/>
      <c r="I55" s="1"/>
      <c r="J55" s="1"/>
      <c r="K55" s="1"/>
      <c r="L55" s="1"/>
      <c r="M55" s="1"/>
      <c r="N55" s="1"/>
    </row>
    <row r="56" spans="2:14" ht="15.75" x14ac:dyDescent="0.25">
      <c r="B56" s="1"/>
      <c r="C56" s="1"/>
      <c r="D56" s="1"/>
      <c r="E56" s="1"/>
      <c r="F56" s="1"/>
      <c r="G56" s="1"/>
      <c r="H56" s="1"/>
      <c r="I56" s="1"/>
      <c r="J56" s="1"/>
      <c r="K56" s="1"/>
      <c r="L56" s="1"/>
      <c r="M56" s="1"/>
      <c r="N56" s="1"/>
    </row>
    <row r="57" spans="2:14" ht="15.75" x14ac:dyDescent="0.25">
      <c r="B57" s="1"/>
      <c r="C57" s="1"/>
      <c r="D57" s="1"/>
      <c r="E57" s="1"/>
      <c r="F57" s="1"/>
      <c r="G57" s="1"/>
      <c r="H57" s="1"/>
      <c r="I57" s="1"/>
      <c r="J57" s="1"/>
      <c r="K57" s="1"/>
      <c r="L57" s="1"/>
      <c r="M57" s="1"/>
      <c r="N57" s="1"/>
    </row>
    <row r="58" spans="2:14" ht="15.75" x14ac:dyDescent="0.25">
      <c r="B58" s="1"/>
      <c r="C58" s="1"/>
      <c r="D58" s="1"/>
      <c r="E58" s="1"/>
      <c r="F58" s="1"/>
      <c r="G58" s="1"/>
      <c r="H58" s="1"/>
      <c r="I58" s="1"/>
      <c r="J58" s="1"/>
      <c r="K58" s="1"/>
      <c r="L58" s="1"/>
      <c r="M58" s="1"/>
      <c r="N58" s="1"/>
    </row>
    <row r="59" spans="2:14" ht="15.75" x14ac:dyDescent="0.25">
      <c r="B59" s="1"/>
      <c r="C59" s="1"/>
      <c r="D59" s="1"/>
      <c r="E59" s="1"/>
      <c r="F59" s="1"/>
      <c r="G59" s="1"/>
      <c r="H59" s="1"/>
      <c r="I59" s="1"/>
      <c r="J59" s="1"/>
      <c r="K59" s="1"/>
      <c r="L59" s="1"/>
      <c r="M59" s="1"/>
      <c r="N59" s="1"/>
    </row>
    <row r="60" spans="2:14" ht="15.75" x14ac:dyDescent="0.25">
      <c r="B60" s="1"/>
      <c r="C60" s="1"/>
      <c r="D60" s="1"/>
      <c r="E60" s="1"/>
      <c r="F60" s="1"/>
      <c r="G60" s="1"/>
      <c r="H60" s="1"/>
      <c r="I60" s="1"/>
      <c r="J60" s="1"/>
      <c r="K60" s="1"/>
      <c r="L60" s="1"/>
      <c r="M60" s="1"/>
      <c r="N60" s="1"/>
    </row>
    <row r="61" spans="2:14" ht="15.75" x14ac:dyDescent="0.25">
      <c r="B61" s="1"/>
      <c r="C61" s="1"/>
      <c r="D61" s="1"/>
      <c r="E61" s="1"/>
      <c r="F61" s="1"/>
      <c r="G61" s="1"/>
      <c r="H61" s="1"/>
      <c r="I61" s="1"/>
      <c r="J61" s="1"/>
      <c r="K61" s="1"/>
      <c r="L61" s="1"/>
      <c r="M61" s="1"/>
      <c r="N61" s="1"/>
    </row>
    <row r="62" spans="2:14" ht="15.75" x14ac:dyDescent="0.25">
      <c r="B62" s="1"/>
      <c r="C62" s="1"/>
      <c r="D62" s="1"/>
      <c r="E62" s="1"/>
      <c r="F62" s="1"/>
      <c r="G62" s="1"/>
      <c r="H62" s="1"/>
      <c r="I62" s="1"/>
      <c r="J62" s="1"/>
      <c r="K62" s="1"/>
      <c r="L62" s="1"/>
      <c r="M62" s="1"/>
      <c r="N62" s="1"/>
    </row>
    <row r="63" spans="2:14" ht="15.75" x14ac:dyDescent="0.25">
      <c r="B63" s="1"/>
      <c r="C63" s="1"/>
      <c r="D63" s="1"/>
      <c r="E63" s="1"/>
      <c r="F63" s="1"/>
      <c r="G63" s="1"/>
      <c r="H63" s="1"/>
      <c r="I63" s="1"/>
      <c r="J63" s="1"/>
      <c r="K63" s="1"/>
      <c r="L63" s="1"/>
      <c r="M63" s="1"/>
      <c r="N63" s="1"/>
    </row>
    <row r="64" spans="2:14" ht="15.75" x14ac:dyDescent="0.25">
      <c r="B64" s="1"/>
      <c r="C64" s="1"/>
      <c r="D64" s="1"/>
      <c r="E64" s="1"/>
      <c r="F64" s="1"/>
      <c r="G64" s="1"/>
      <c r="H64" s="1"/>
      <c r="I64" s="1"/>
      <c r="J64" s="1"/>
      <c r="K64" s="1"/>
      <c r="L64" s="1"/>
      <c r="M64" s="1"/>
      <c r="N64" s="1"/>
    </row>
    <row r="65" spans="2:14" ht="15.75" x14ac:dyDescent="0.25">
      <c r="B65" s="1"/>
      <c r="C65" s="1"/>
      <c r="D65" s="1"/>
      <c r="E65" s="1"/>
      <c r="F65" s="1"/>
      <c r="G65" s="1"/>
      <c r="H65" s="1"/>
      <c r="I65" s="1"/>
      <c r="J65" s="1"/>
      <c r="K65" s="1"/>
      <c r="L65" s="1"/>
      <c r="M65" s="1"/>
      <c r="N65" s="1"/>
    </row>
    <row r="66" spans="2:14" ht="15.75" x14ac:dyDescent="0.25">
      <c r="B66" s="1"/>
      <c r="C66" s="1"/>
      <c r="D66" s="1"/>
      <c r="E66" s="1"/>
      <c r="F66" s="1"/>
      <c r="G66" s="1"/>
      <c r="H66" s="1"/>
      <c r="I66" s="1"/>
      <c r="J66" s="1"/>
      <c r="K66" s="1"/>
      <c r="L66" s="1"/>
      <c r="M66" s="1"/>
      <c r="N66" s="1"/>
    </row>
    <row r="67" spans="2:14" ht="15.75" x14ac:dyDescent="0.25">
      <c r="B67" s="1"/>
      <c r="C67" s="1"/>
      <c r="D67" s="1"/>
      <c r="E67" s="1"/>
      <c r="F67" s="1"/>
      <c r="G67" s="1"/>
      <c r="H67" s="1"/>
      <c r="I67" s="1"/>
      <c r="J67" s="1"/>
      <c r="K67" s="1"/>
      <c r="L67" s="1"/>
      <c r="M67" s="1"/>
      <c r="N67" s="1"/>
    </row>
    <row r="68" spans="2:14" ht="15.75" x14ac:dyDescent="0.25">
      <c r="B68" s="1"/>
      <c r="C68" s="1"/>
      <c r="D68" s="1"/>
      <c r="E68" s="1"/>
      <c r="F68" s="1"/>
      <c r="G68" s="1"/>
      <c r="H68" s="1"/>
      <c r="I68" s="1"/>
      <c r="J68" s="1"/>
      <c r="K68" s="1"/>
      <c r="L68" s="1"/>
      <c r="M68" s="1"/>
      <c r="N68" s="1"/>
    </row>
    <row r="69" spans="2:14" ht="15.75" x14ac:dyDescent="0.25">
      <c r="B69" s="1"/>
      <c r="C69" s="1"/>
      <c r="D69" s="1"/>
      <c r="E69" s="1"/>
      <c r="F69" s="1"/>
      <c r="G69" s="1"/>
      <c r="H69" s="1"/>
      <c r="I69" s="1"/>
      <c r="J69" s="1"/>
      <c r="K69" s="1"/>
      <c r="L69" s="1"/>
      <c r="M69" s="1"/>
      <c r="N69" s="1"/>
    </row>
    <row r="70" spans="2:14" ht="15.75" x14ac:dyDescent="0.25">
      <c r="B70" s="1"/>
      <c r="C70" s="1"/>
      <c r="D70" s="1"/>
      <c r="E70" s="1"/>
      <c r="F70" s="1"/>
      <c r="G70" s="1"/>
      <c r="H70" s="1"/>
      <c r="I70" s="1"/>
      <c r="J70" s="1"/>
      <c r="K70" s="1"/>
      <c r="L70" s="1"/>
      <c r="M70" s="1"/>
      <c r="N70" s="1"/>
    </row>
    <row r="71" spans="2:14" ht="15.75" x14ac:dyDescent="0.25">
      <c r="B71" s="1"/>
      <c r="C71" s="1"/>
      <c r="D71" s="1"/>
      <c r="E71" s="1"/>
      <c r="F71" s="1"/>
      <c r="G71" s="1"/>
      <c r="H71" s="1"/>
      <c r="I71" s="1"/>
      <c r="J71" s="1"/>
      <c r="K71" s="1"/>
      <c r="L71" s="1"/>
      <c r="M71" s="1"/>
      <c r="N71" s="1"/>
    </row>
    <row r="72" spans="2:14" ht="15.75" x14ac:dyDescent="0.25">
      <c r="B72" s="1"/>
      <c r="C72" s="1"/>
      <c r="D72" s="1"/>
      <c r="E72" s="1"/>
      <c r="F72" s="1"/>
      <c r="G72" s="1"/>
      <c r="H72" s="1"/>
      <c r="I72" s="1"/>
      <c r="J72" s="1"/>
      <c r="K72" s="1"/>
      <c r="L72" s="1"/>
      <c r="M72" s="1"/>
      <c r="N72" s="1"/>
    </row>
    <row r="73" spans="2:14" ht="15.75" x14ac:dyDescent="0.25">
      <c r="B73" s="1"/>
      <c r="C73" s="1"/>
      <c r="D73" s="1"/>
      <c r="E73" s="1"/>
      <c r="F73" s="1"/>
      <c r="G73" s="1"/>
      <c r="H73" s="1"/>
      <c r="I73" s="1"/>
      <c r="J73" s="1"/>
      <c r="K73" s="1"/>
      <c r="L73" s="1"/>
      <c r="M73" s="1"/>
      <c r="N73" s="1"/>
    </row>
    <row r="74" spans="2:14" ht="15.75" x14ac:dyDescent="0.25">
      <c r="B74" s="1"/>
      <c r="C74" s="1"/>
      <c r="D74" s="1"/>
      <c r="E74" s="1"/>
      <c r="F74" s="1"/>
      <c r="G74" s="1"/>
      <c r="H74" s="1"/>
      <c r="I74" s="1"/>
      <c r="J74" s="1"/>
      <c r="K74" s="1"/>
      <c r="L74" s="1"/>
      <c r="M74" s="1"/>
      <c r="N74" s="1"/>
    </row>
    <row r="75" spans="2:14" ht="15.75" x14ac:dyDescent="0.25">
      <c r="B75" s="1"/>
      <c r="C75" s="1"/>
      <c r="D75" s="1"/>
      <c r="E75" s="1"/>
      <c r="F75" s="1"/>
      <c r="G75" s="1"/>
      <c r="H75" s="1"/>
      <c r="I75" s="1"/>
      <c r="J75" s="1"/>
      <c r="K75" s="1"/>
      <c r="L75" s="1"/>
      <c r="M75" s="1"/>
      <c r="N75" s="1"/>
    </row>
    <row r="76" spans="2:14" ht="15.75" x14ac:dyDescent="0.25">
      <c r="B76" s="1"/>
      <c r="C76" s="1"/>
      <c r="D76" s="1"/>
      <c r="E76" s="1"/>
      <c r="F76" s="1"/>
      <c r="G76" s="1"/>
      <c r="H76" s="1"/>
      <c r="I76" s="1"/>
      <c r="J76" s="1"/>
      <c r="K76" s="1"/>
      <c r="L76" s="1"/>
      <c r="M76" s="1"/>
      <c r="N76" s="1"/>
    </row>
    <row r="77" spans="2:14" ht="15.75" x14ac:dyDescent="0.25">
      <c r="B77" s="1"/>
      <c r="C77" s="1"/>
      <c r="D77" s="1"/>
      <c r="E77" s="1"/>
      <c r="F77" s="1"/>
      <c r="G77" s="1"/>
      <c r="H77" s="1"/>
      <c r="I77" s="1"/>
      <c r="J77" s="1"/>
      <c r="K77" s="1"/>
      <c r="L77" s="1"/>
      <c r="M77" s="1"/>
      <c r="N77" s="1"/>
    </row>
    <row r="78" spans="2:14" ht="15.75" x14ac:dyDescent="0.25">
      <c r="B78" s="1"/>
      <c r="C78" s="1"/>
      <c r="D78" s="1"/>
      <c r="E78" s="1"/>
      <c r="F78" s="1"/>
      <c r="G78" s="1"/>
      <c r="H78" s="1"/>
      <c r="I78" s="1"/>
      <c r="J78" s="1"/>
      <c r="K78" s="1"/>
      <c r="L78" s="1"/>
      <c r="M78" s="1"/>
      <c r="N78" s="1"/>
    </row>
    <row r="79" spans="2:14" ht="15.75" x14ac:dyDescent="0.25">
      <c r="B79" s="1"/>
      <c r="C79" s="1"/>
      <c r="D79" s="1"/>
      <c r="E79" s="1"/>
      <c r="F79" s="1"/>
      <c r="G79" s="1"/>
      <c r="H79" s="1"/>
      <c r="I79" s="1"/>
      <c r="J79" s="1"/>
      <c r="K79" s="1"/>
      <c r="L79" s="1"/>
      <c r="M79" s="1"/>
      <c r="N79" s="1"/>
    </row>
    <row r="80" spans="2:14" ht="15.75" x14ac:dyDescent="0.25">
      <c r="B80" s="1"/>
      <c r="C80" s="1"/>
      <c r="D80" s="1"/>
      <c r="E80" s="1"/>
      <c r="F80" s="1"/>
      <c r="G80" s="1"/>
      <c r="H80" s="1"/>
      <c r="I80" s="1"/>
      <c r="J80" s="1"/>
      <c r="K80" s="1"/>
      <c r="L80" s="1"/>
      <c r="M80" s="1"/>
      <c r="N80" s="1"/>
    </row>
    <row r="81" spans="2:14" ht="15.75" x14ac:dyDescent="0.25">
      <c r="B81" s="1"/>
      <c r="C81" s="1"/>
      <c r="D81" s="1"/>
      <c r="E81" s="1"/>
      <c r="F81" s="1"/>
      <c r="G81" s="1"/>
      <c r="H81" s="1"/>
      <c r="I81" s="1"/>
      <c r="J81" s="1"/>
      <c r="K81" s="1"/>
      <c r="L81" s="1"/>
      <c r="M81" s="1"/>
      <c r="N81" s="1"/>
    </row>
    <row r="82" spans="2:14" ht="15.75" x14ac:dyDescent="0.25">
      <c r="B82" s="1"/>
      <c r="C82" s="1"/>
      <c r="D82" s="1"/>
      <c r="E82" s="1"/>
      <c r="F82" s="1"/>
      <c r="G82" s="1"/>
      <c r="H82" s="1"/>
      <c r="I82" s="1"/>
      <c r="J82" s="1"/>
      <c r="K82" s="1"/>
      <c r="L82" s="1"/>
      <c r="M82" s="1"/>
      <c r="N82" s="1"/>
    </row>
    <row r="83" spans="2:14" ht="15.75" x14ac:dyDescent="0.25">
      <c r="B83" s="1"/>
      <c r="C83" s="1"/>
      <c r="D83" s="1"/>
      <c r="E83" s="1"/>
      <c r="F83" s="1"/>
      <c r="G83" s="1"/>
      <c r="H83" s="1"/>
      <c r="I83" s="1"/>
      <c r="J83" s="1"/>
      <c r="K83" s="1"/>
      <c r="L83" s="1"/>
      <c r="M83" s="1"/>
      <c r="N83" s="1"/>
    </row>
    <row r="84" spans="2:14" ht="15.75" x14ac:dyDescent="0.25">
      <c r="B84" s="1"/>
      <c r="C84" s="1"/>
      <c r="D84" s="1"/>
      <c r="E84" s="1"/>
      <c r="F84" s="1"/>
      <c r="G84" s="1"/>
      <c r="H84" s="1"/>
      <c r="I84" s="1"/>
      <c r="J84" s="1"/>
      <c r="K84" s="1"/>
      <c r="L84" s="1"/>
      <c r="M84" s="1"/>
      <c r="N84" s="1"/>
    </row>
  </sheetData>
  <mergeCells count="15">
    <mergeCell ref="B3:J3"/>
    <mergeCell ref="B4:J4"/>
    <mergeCell ref="B19:G19"/>
    <mergeCell ref="B20:G20"/>
    <mergeCell ref="B21:G21"/>
    <mergeCell ref="C10:D10"/>
    <mergeCell ref="C11:D11"/>
    <mergeCell ref="C12:D12"/>
    <mergeCell ref="C13:D13"/>
    <mergeCell ref="C14:D14"/>
    <mergeCell ref="B22:I22"/>
    <mergeCell ref="H20:I20"/>
    <mergeCell ref="H18:I18"/>
    <mergeCell ref="H21:I21"/>
    <mergeCell ref="H19:I19"/>
  </mergeCells>
  <dataValidations count="1">
    <dataValidation type="list" allowBlank="1" showInputMessage="1" showErrorMessage="1" sqref="H20:H21" xr:uid="{00000000-0002-0000-0100-000000000000}">
      <formula1>"YES,NO"</formula1>
    </dataValidation>
  </dataValidations>
  <pageMargins left="0.75" right="0.75" top="1" bottom="1" header="0.5" footer="0.5"/>
  <pageSetup scale="64" orientation="portrait" r:id="rId1"/>
  <headerFooter alignWithMargins="0"/>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'Formula Data'!$C$6:$C$33</xm:f>
          </x14:formula1>
          <xm:sqref>C10:D14</xm:sqref>
        </x14:dataValidation>
        <x14:dataValidation type="list" allowBlank="1" showInputMessage="1" showErrorMessage="1" xr:uid="{00000000-0002-0000-0100-000002000000}">
          <x14:formula1>
            <xm:f>'Formula Data'!$D$5:$L$5</xm:f>
          </x14:formula1>
          <xm:sqref>E10:E14</xm:sqref>
        </x14:dataValidation>
        <x14:dataValidation type="list" allowBlank="1" showInputMessage="1" showErrorMessage="1" xr:uid="{D524CF63-B0C7-4F33-BC03-9D6E98CBAE88}">
          <x14:formula1>
            <xm:f>'Formula Data'!$C$36:$C$37</xm:f>
          </x14:formula1>
          <xm:sqref>H19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H46"/>
  <sheetViews>
    <sheetView showGridLines="0" showRowColHeaders="0" zoomScaleNormal="100" workbookViewId="0"/>
  </sheetViews>
  <sheetFormatPr defaultRowHeight="12.75" x14ac:dyDescent="0.2"/>
  <cols>
    <col min="2" max="2" width="30.85546875" customWidth="1"/>
    <col min="3" max="3" width="10.85546875" customWidth="1"/>
    <col min="5" max="5" width="11" customWidth="1"/>
  </cols>
  <sheetData>
    <row r="3" spans="2:8" ht="15.75" x14ac:dyDescent="0.25">
      <c r="B3" s="138" t="s">
        <v>0</v>
      </c>
      <c r="C3" s="138"/>
      <c r="D3" s="138"/>
      <c r="E3" s="138"/>
      <c r="F3" s="3"/>
      <c r="G3" s="3"/>
      <c r="H3" s="3"/>
    </row>
    <row r="4" spans="2:8" ht="15.75" x14ac:dyDescent="0.25">
      <c r="B4" s="138" t="s">
        <v>49</v>
      </c>
      <c r="C4" s="138"/>
      <c r="D4" s="138"/>
      <c r="E4" s="138"/>
      <c r="F4" s="3"/>
      <c r="G4" s="3"/>
      <c r="H4" s="3"/>
    </row>
    <row r="5" spans="2:8" ht="13.5" thickBot="1" x14ac:dyDescent="0.25"/>
    <row r="6" spans="2:8" ht="13.5" thickBot="1" x14ac:dyDescent="0.25">
      <c r="B6" s="38" t="s">
        <v>50</v>
      </c>
      <c r="C6" s="39" t="s">
        <v>248</v>
      </c>
      <c r="D6" s="39" t="s">
        <v>247</v>
      </c>
      <c r="E6" s="39" t="s">
        <v>51</v>
      </c>
    </row>
    <row r="7" spans="2:8" ht="13.5" thickBot="1" x14ac:dyDescent="0.25">
      <c r="B7" s="148" t="s">
        <v>52</v>
      </c>
      <c r="C7" s="149"/>
      <c r="D7" s="149"/>
      <c r="E7" s="150"/>
    </row>
    <row r="8" spans="2:8" ht="13.5" thickBot="1" x14ac:dyDescent="0.25">
      <c r="B8" s="145" t="s">
        <v>53</v>
      </c>
      <c r="C8" s="146"/>
      <c r="D8" s="146"/>
      <c r="E8" s="147"/>
    </row>
    <row r="9" spans="2:8" ht="13.5" thickBot="1" x14ac:dyDescent="0.25">
      <c r="B9" s="40" t="s">
        <v>54</v>
      </c>
      <c r="C9" s="82"/>
      <c r="D9" s="89">
        <v>56</v>
      </c>
      <c r="E9" s="41">
        <f>C9*D9</f>
        <v>0</v>
      </c>
    </row>
    <row r="10" spans="2:8" ht="13.5" thickBot="1" x14ac:dyDescent="0.25">
      <c r="B10" s="40" t="s">
        <v>55</v>
      </c>
      <c r="C10" s="82"/>
      <c r="D10" s="89">
        <v>61</v>
      </c>
      <c r="E10" s="41">
        <f>C10*D10</f>
        <v>0</v>
      </c>
    </row>
    <row r="11" spans="2:8" ht="13.5" thickBot="1" x14ac:dyDescent="0.25">
      <c r="B11" s="145" t="s">
        <v>56</v>
      </c>
      <c r="C11" s="146"/>
      <c r="D11" s="146"/>
      <c r="E11" s="147"/>
    </row>
    <row r="12" spans="2:8" ht="13.5" thickBot="1" x14ac:dyDescent="0.25">
      <c r="B12" s="40" t="s">
        <v>57</v>
      </c>
      <c r="C12" s="82"/>
      <c r="D12" s="89">
        <v>72</v>
      </c>
      <c r="E12" s="41">
        <f t="shared" ref="E12:E21" si="0">C12*D12</f>
        <v>0</v>
      </c>
    </row>
    <row r="13" spans="2:8" ht="13.5" thickBot="1" x14ac:dyDescent="0.25">
      <c r="B13" s="40" t="s">
        <v>58</v>
      </c>
      <c r="C13" s="82"/>
      <c r="D13" s="89">
        <v>56</v>
      </c>
      <c r="E13" s="41">
        <f t="shared" si="0"/>
        <v>0</v>
      </c>
    </row>
    <row r="14" spans="2:8" ht="13.5" thickBot="1" x14ac:dyDescent="0.25">
      <c r="B14" s="40" t="s">
        <v>59</v>
      </c>
      <c r="C14" s="82"/>
      <c r="D14" s="89">
        <v>56</v>
      </c>
      <c r="E14" s="41">
        <f t="shared" si="0"/>
        <v>0</v>
      </c>
    </row>
    <row r="15" spans="2:8" ht="13.5" thickBot="1" x14ac:dyDescent="0.25">
      <c r="B15" s="40" t="s">
        <v>60</v>
      </c>
      <c r="C15" s="82"/>
      <c r="D15" s="89">
        <v>109</v>
      </c>
      <c r="E15" s="41">
        <f t="shared" si="0"/>
        <v>0</v>
      </c>
    </row>
    <row r="16" spans="2:8" ht="13.5" thickBot="1" x14ac:dyDescent="0.25">
      <c r="B16" s="40" t="s">
        <v>61</v>
      </c>
      <c r="C16" s="82"/>
      <c r="D16" s="89">
        <v>49</v>
      </c>
      <c r="E16" s="41">
        <f t="shared" si="0"/>
        <v>0</v>
      </c>
    </row>
    <row r="17" spans="2:5" ht="34.5" thickBot="1" x14ac:dyDescent="0.25">
      <c r="B17" s="40" t="s">
        <v>62</v>
      </c>
      <c r="C17" s="82"/>
      <c r="D17" s="89">
        <v>56</v>
      </c>
      <c r="E17" s="41">
        <f t="shared" si="0"/>
        <v>0</v>
      </c>
    </row>
    <row r="18" spans="2:5" ht="13.5" thickBot="1" x14ac:dyDescent="0.25">
      <c r="B18" s="40" t="s">
        <v>63</v>
      </c>
      <c r="C18" s="82"/>
      <c r="D18" s="89">
        <v>44</v>
      </c>
      <c r="E18" s="41">
        <f t="shared" si="0"/>
        <v>0</v>
      </c>
    </row>
    <row r="19" spans="2:5" ht="13.5" thickBot="1" x14ac:dyDescent="0.25">
      <c r="B19" s="40" t="s">
        <v>64</v>
      </c>
      <c r="C19" s="82"/>
      <c r="D19" s="89">
        <v>44</v>
      </c>
      <c r="E19" s="41">
        <f t="shared" si="0"/>
        <v>0</v>
      </c>
    </row>
    <row r="20" spans="2:5" ht="13.5" thickBot="1" x14ac:dyDescent="0.25">
      <c r="B20" s="40" t="s">
        <v>65</v>
      </c>
      <c r="C20" s="82"/>
      <c r="D20" s="89">
        <v>49</v>
      </c>
      <c r="E20" s="41">
        <f t="shared" si="0"/>
        <v>0</v>
      </c>
    </row>
    <row r="21" spans="2:5" ht="15" customHeight="1" thickBot="1" x14ac:dyDescent="0.25">
      <c r="B21" s="40" t="s">
        <v>66</v>
      </c>
      <c r="C21" s="82"/>
      <c r="D21" s="89">
        <v>49</v>
      </c>
      <c r="E21" s="41">
        <f t="shared" si="0"/>
        <v>0</v>
      </c>
    </row>
    <row r="22" spans="2:5" ht="13.5" thickBot="1" x14ac:dyDescent="0.25">
      <c r="B22" s="145" t="s">
        <v>255</v>
      </c>
      <c r="C22" s="146"/>
      <c r="D22" s="146"/>
      <c r="E22" s="147"/>
    </row>
    <row r="23" spans="2:5" ht="13.5" thickBot="1" x14ac:dyDescent="0.25">
      <c r="B23" s="40" t="s">
        <v>67</v>
      </c>
      <c r="C23" s="82"/>
      <c r="D23" s="89">
        <v>21</v>
      </c>
      <c r="E23" s="41">
        <f>C23*D23</f>
        <v>0</v>
      </c>
    </row>
    <row r="24" spans="2:5" ht="13.5" thickBot="1" x14ac:dyDescent="0.25">
      <c r="B24" s="42" t="s">
        <v>68</v>
      </c>
      <c r="C24" s="83"/>
      <c r="D24" s="90">
        <v>7</v>
      </c>
      <c r="E24" s="41">
        <f>C24*D24</f>
        <v>0</v>
      </c>
    </row>
    <row r="25" spans="2:5" ht="13.5" thickBot="1" x14ac:dyDescent="0.25">
      <c r="B25" s="145" t="s">
        <v>69</v>
      </c>
      <c r="C25" s="146"/>
      <c r="D25" s="146"/>
      <c r="E25" s="147"/>
    </row>
    <row r="26" spans="2:5" ht="13.5" thickBot="1" x14ac:dyDescent="0.25">
      <c r="B26" s="40" t="s">
        <v>70</v>
      </c>
      <c r="C26" s="82"/>
      <c r="D26" s="89">
        <v>49</v>
      </c>
      <c r="E26" s="41">
        <f>C26*D26</f>
        <v>0</v>
      </c>
    </row>
    <row r="27" spans="2:5" ht="13.5" thickBot="1" x14ac:dyDescent="0.25">
      <c r="B27" s="40" t="s">
        <v>71</v>
      </c>
      <c r="C27" s="82"/>
      <c r="D27" s="89">
        <v>61</v>
      </c>
      <c r="E27" s="41">
        <f>C27*D27</f>
        <v>0</v>
      </c>
    </row>
    <row r="28" spans="2:5" ht="13.5" thickBot="1" x14ac:dyDescent="0.25">
      <c r="B28" s="145" t="s">
        <v>72</v>
      </c>
      <c r="C28" s="146"/>
      <c r="D28" s="146"/>
      <c r="E28" s="147"/>
    </row>
    <row r="29" spans="2:5" ht="13.5" thickBot="1" x14ac:dyDescent="0.25">
      <c r="B29" s="40" t="s">
        <v>73</v>
      </c>
      <c r="C29" s="82"/>
      <c r="D29" s="89">
        <v>56</v>
      </c>
      <c r="E29" s="41">
        <f>C29*D29</f>
        <v>0</v>
      </c>
    </row>
    <row r="30" spans="2:5" ht="13.5" thickBot="1" x14ac:dyDescent="0.25">
      <c r="B30" s="40" t="s">
        <v>74</v>
      </c>
      <c r="C30" s="82"/>
      <c r="D30" s="89">
        <v>77</v>
      </c>
      <c r="E30" s="41">
        <f t="shared" ref="E30:E38" si="1">C30*D30</f>
        <v>0</v>
      </c>
    </row>
    <row r="31" spans="2:5" ht="13.5" thickBot="1" x14ac:dyDescent="0.25">
      <c r="B31" s="40" t="s">
        <v>75</v>
      </c>
      <c r="C31" s="82"/>
      <c r="D31" s="89">
        <v>93</v>
      </c>
      <c r="E31" s="41">
        <f t="shared" si="1"/>
        <v>0</v>
      </c>
    </row>
    <row r="32" spans="2:5" ht="13.5" thickBot="1" x14ac:dyDescent="0.25">
      <c r="B32" s="40" t="s">
        <v>76</v>
      </c>
      <c r="C32" s="82"/>
      <c r="D32" s="89">
        <v>123</v>
      </c>
      <c r="E32" s="41">
        <f t="shared" si="1"/>
        <v>0</v>
      </c>
    </row>
    <row r="33" spans="2:5" ht="13.5" thickBot="1" x14ac:dyDescent="0.25">
      <c r="B33" s="43" t="s">
        <v>77</v>
      </c>
      <c r="C33" s="84"/>
      <c r="D33" s="91">
        <v>187</v>
      </c>
      <c r="E33" s="41">
        <f t="shared" si="1"/>
        <v>0</v>
      </c>
    </row>
    <row r="34" spans="2:5" ht="13.5" thickBot="1" x14ac:dyDescent="0.25">
      <c r="B34" s="145" t="s">
        <v>78</v>
      </c>
      <c r="C34" s="146"/>
      <c r="D34" s="146"/>
      <c r="E34" s="147"/>
    </row>
    <row r="35" spans="2:5" ht="13.5" thickBot="1" x14ac:dyDescent="0.25">
      <c r="B35" s="40" t="s">
        <v>79</v>
      </c>
      <c r="C35" s="82"/>
      <c r="D35" s="89">
        <v>61</v>
      </c>
      <c r="E35" s="41">
        <f t="shared" si="1"/>
        <v>0</v>
      </c>
    </row>
    <row r="36" spans="2:5" ht="13.5" thickBot="1" x14ac:dyDescent="0.25">
      <c r="B36" s="145" t="s">
        <v>80</v>
      </c>
      <c r="C36" s="146"/>
      <c r="D36" s="146"/>
      <c r="E36" s="147"/>
    </row>
    <row r="37" spans="2:5" ht="13.5" thickBot="1" x14ac:dyDescent="0.25">
      <c r="B37" s="40" t="s">
        <v>81</v>
      </c>
      <c r="C37" s="82"/>
      <c r="D37" s="89">
        <v>97</v>
      </c>
      <c r="E37" s="41">
        <f t="shared" si="1"/>
        <v>0</v>
      </c>
    </row>
    <row r="38" spans="2:5" ht="23.25" thickBot="1" x14ac:dyDescent="0.25">
      <c r="B38" s="99" t="s">
        <v>82</v>
      </c>
      <c r="C38" s="82"/>
      <c r="D38" s="89">
        <v>49</v>
      </c>
      <c r="E38" s="41">
        <f t="shared" si="1"/>
        <v>0</v>
      </c>
    </row>
    <row r="39" spans="2:5" ht="13.5" thickBot="1" x14ac:dyDescent="0.25">
      <c r="B39" s="148" t="s">
        <v>83</v>
      </c>
      <c r="C39" s="149"/>
      <c r="D39" s="149"/>
      <c r="E39" s="150"/>
    </row>
    <row r="40" spans="2:5" ht="13.5" thickBot="1" x14ac:dyDescent="0.25">
      <c r="B40" s="44" t="s">
        <v>84</v>
      </c>
      <c r="C40" s="59"/>
      <c r="D40" s="81"/>
      <c r="E40" s="45"/>
    </row>
    <row r="41" spans="2:5" ht="13.5" thickBot="1" x14ac:dyDescent="0.25">
      <c r="B41" s="151" t="s">
        <v>276</v>
      </c>
      <c r="C41" s="152"/>
      <c r="D41" s="123"/>
      <c r="E41" s="124" cm="1">
        <f t="array" ref="E41">IF(OR(ISBLANK(C40),C40=0),0,IF(C40&lt;500.01,103,IF(AND(500&lt;C40,C40&lt;2000.01),103+7*(ROUNDUP((C40-500)/100,0)),IF(AND(2000&lt;C40,C40&lt;25000.01),196+13*(ROUNDUP((C40-2000)/1000,0)),IF(AND(25000&lt;C40,C40&lt;50000.01),480+10*(ROUNDUP((C40-25000)/1000,0)),IF(AND(50000&lt;C40,C40&lt;100000.01),711+7*(ROUNDUP((C40-50000)/1000,0)),IF(100000&lt;C40,1019+6*(ROUNDUP((C40-100000)/1000,0)),ERROR)))))))</f>
        <v>0</v>
      </c>
    </row>
    <row r="42" spans="2:5" ht="13.5" thickBot="1" x14ac:dyDescent="0.25">
      <c r="B42" s="148" t="s">
        <v>6</v>
      </c>
      <c r="C42" s="149"/>
      <c r="D42" s="149"/>
      <c r="E42" s="150"/>
    </row>
    <row r="43" spans="2:5" ht="13.5" thickBot="1" x14ac:dyDescent="0.25">
      <c r="B43" s="141" t="s">
        <v>262</v>
      </c>
      <c r="C43" s="143"/>
      <c r="D43" s="144"/>
      <c r="E43" s="46">
        <f>IF(SUM(E9:E10,E12:E21,E23:E24,E26:E27,E29:E33,E35,E37:E38,E41)=0,0,IF(SUM(E9:E10,E12:E21,E23:E24,E26:E27,E29:E33,E35,E37:E38,E41)&gt;102,SUM(E9:E10,E12:E21,E23:E24,E26:E27,E29:E33,E35,E37:E38,E41),102))</f>
        <v>0</v>
      </c>
    </row>
    <row r="44" spans="2:5" ht="13.5" customHeight="1" thickBot="1" x14ac:dyDescent="0.25">
      <c r="B44" s="141" t="s">
        <v>85</v>
      </c>
      <c r="C44" s="142"/>
      <c r="D44" s="47"/>
      <c r="E44" s="46">
        <f>IF(OR(D44="NO",ISBLANK(D44)),0,IF(SUM(E41,E38,E37,E35,E33,E32,E31,E30,E29,E27,E26,E24,E23,E21,E20,E19,E18,E17,E16,E15,E14,E13,E12,E10,E9)=0,0,IF(SUM(E41,E38,E37,E35,E33,E32,E31,E30,E29,E27,E26,E24,E23,E21,E20,E19,E18,E17,E16,E15,E14,E13,E12,E10,E9)&gt;102,SUM(E41,E38,E37,E35,E33,E32,E31,E30,E29,E27,E26,E24,E23,E21,E20,E19,E18,E17,E16,E15,E14,E13,E12,E10,E9),102)))</f>
        <v>0</v>
      </c>
    </row>
    <row r="45" spans="2:5" ht="13.5" customHeight="1" thickBot="1" x14ac:dyDescent="0.25">
      <c r="B45" s="141" t="s">
        <v>86</v>
      </c>
      <c r="C45" s="142"/>
      <c r="D45" s="47"/>
      <c r="E45" s="46">
        <f>IF(OR(D45="NO",ISBLANK(D45)),0,0.25*E43)</f>
        <v>0</v>
      </c>
    </row>
    <row r="46" spans="2:5" ht="13.5" thickBot="1" x14ac:dyDescent="0.25">
      <c r="B46" s="141" t="s">
        <v>87</v>
      </c>
      <c r="C46" s="143"/>
      <c r="D46" s="144"/>
      <c r="E46" s="48">
        <f>SUM(E43:E45)</f>
        <v>0</v>
      </c>
    </row>
  </sheetData>
  <mergeCells count="17">
    <mergeCell ref="B3:E3"/>
    <mergeCell ref="B4:E4"/>
    <mergeCell ref="B7:E7"/>
    <mergeCell ref="B41:C41"/>
    <mergeCell ref="B25:E25"/>
    <mergeCell ref="B44:C44"/>
    <mergeCell ref="B45:C45"/>
    <mergeCell ref="B43:D43"/>
    <mergeCell ref="B46:D46"/>
    <mergeCell ref="B8:E8"/>
    <mergeCell ref="B11:E11"/>
    <mergeCell ref="B22:E22"/>
    <mergeCell ref="B28:E28"/>
    <mergeCell ref="B34:E34"/>
    <mergeCell ref="B36:E36"/>
    <mergeCell ref="B39:E39"/>
    <mergeCell ref="B42:E42"/>
  </mergeCells>
  <dataValidations count="1">
    <dataValidation type="list" allowBlank="1" showInputMessage="1" showErrorMessage="1" sqref="D44:D45" xr:uid="{00000000-0002-0000-0200-000000000000}">
      <formula1>"YES,NO"</formula1>
    </dataValidation>
  </dataValidations>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E38"/>
  <sheetViews>
    <sheetView showGridLines="0" showRowColHeaders="0" zoomScaleNormal="100" workbookViewId="0">
      <selection activeCell="B3" sqref="B3:E3"/>
    </sheetView>
  </sheetViews>
  <sheetFormatPr defaultRowHeight="12.75" x14ac:dyDescent="0.2"/>
  <cols>
    <col min="2" max="2" width="37.42578125" customWidth="1"/>
    <col min="5" max="5" width="9.42578125" bestFit="1" customWidth="1"/>
  </cols>
  <sheetData>
    <row r="3" spans="2:5" ht="15.75" customHeight="1" x14ac:dyDescent="0.2">
      <c r="B3" s="138" t="s">
        <v>0</v>
      </c>
      <c r="C3" s="138"/>
      <c r="D3" s="138"/>
      <c r="E3" s="138"/>
    </row>
    <row r="4" spans="2:5" ht="15.75" customHeight="1" x14ac:dyDescent="0.2">
      <c r="B4" s="138" t="s">
        <v>256</v>
      </c>
      <c r="C4" s="138"/>
      <c r="D4" s="138"/>
      <c r="E4" s="138"/>
    </row>
    <row r="5" spans="2:5" ht="13.5" thickBot="1" x14ac:dyDescent="0.25"/>
    <row r="6" spans="2:5" ht="13.5" thickBot="1" x14ac:dyDescent="0.25">
      <c r="B6" s="49" t="s">
        <v>50</v>
      </c>
      <c r="C6" s="39" t="s">
        <v>248</v>
      </c>
      <c r="D6" s="50" t="s">
        <v>247</v>
      </c>
      <c r="E6" s="51" t="s">
        <v>51</v>
      </c>
    </row>
    <row r="7" spans="2:5" ht="13.5" thickBot="1" x14ac:dyDescent="0.25">
      <c r="B7" s="155" t="s">
        <v>88</v>
      </c>
      <c r="C7" s="156"/>
      <c r="D7" s="156"/>
      <c r="E7" s="157"/>
    </row>
    <row r="8" spans="2:5" ht="45.75" thickBot="1" x14ac:dyDescent="0.25">
      <c r="B8" s="99" t="s">
        <v>89</v>
      </c>
      <c r="C8" s="103"/>
      <c r="D8" s="92">
        <v>351</v>
      </c>
      <c r="E8" s="46">
        <f>C8*D8</f>
        <v>0</v>
      </c>
    </row>
    <row r="9" spans="2:5" ht="13.5" thickBot="1" x14ac:dyDescent="0.25">
      <c r="B9" s="100" t="s">
        <v>90</v>
      </c>
      <c r="C9" s="103"/>
      <c r="D9" s="92">
        <v>464</v>
      </c>
      <c r="E9" s="46">
        <f t="shared" ref="E9:E28" si="0">C9*D9</f>
        <v>0</v>
      </c>
    </row>
    <row r="10" spans="2:5" ht="13.5" thickBot="1" x14ac:dyDescent="0.25">
      <c r="B10" s="100" t="s">
        <v>91</v>
      </c>
      <c r="C10" s="103"/>
      <c r="D10" s="92">
        <v>565</v>
      </c>
      <c r="E10" s="46">
        <f t="shared" si="0"/>
        <v>0</v>
      </c>
    </row>
    <row r="11" spans="2:5" ht="13.5" thickBot="1" x14ac:dyDescent="0.25">
      <c r="B11" s="100" t="s">
        <v>92</v>
      </c>
      <c r="C11" s="103"/>
      <c r="D11" s="92">
        <v>116</v>
      </c>
      <c r="E11" s="46">
        <f t="shared" si="0"/>
        <v>0</v>
      </c>
    </row>
    <row r="12" spans="2:5" ht="13.5" thickBot="1" x14ac:dyDescent="0.25">
      <c r="B12" s="100" t="s">
        <v>93</v>
      </c>
      <c r="C12" s="103"/>
      <c r="D12" s="92">
        <v>116</v>
      </c>
      <c r="E12" s="46">
        <f t="shared" si="0"/>
        <v>0</v>
      </c>
    </row>
    <row r="13" spans="2:5" ht="13.5" thickBot="1" x14ac:dyDescent="0.25">
      <c r="B13" s="158" t="s">
        <v>94</v>
      </c>
      <c r="C13" s="159"/>
      <c r="D13" s="159"/>
      <c r="E13" s="160"/>
    </row>
    <row r="14" spans="2:5" ht="13.5" thickBot="1" x14ac:dyDescent="0.25">
      <c r="B14" s="100" t="s">
        <v>95</v>
      </c>
      <c r="C14" s="103"/>
      <c r="D14" s="92">
        <v>21</v>
      </c>
      <c r="E14" s="46">
        <f t="shared" si="0"/>
        <v>0</v>
      </c>
    </row>
    <row r="15" spans="2:5" ht="13.5" thickBot="1" x14ac:dyDescent="0.25">
      <c r="B15" s="158" t="s">
        <v>96</v>
      </c>
      <c r="C15" s="159"/>
      <c r="D15" s="159"/>
      <c r="E15" s="160"/>
    </row>
    <row r="16" spans="2:5" ht="13.5" thickBot="1" x14ac:dyDescent="0.25">
      <c r="B16" s="100" t="s">
        <v>97</v>
      </c>
      <c r="C16" s="103"/>
      <c r="D16" s="92">
        <v>104</v>
      </c>
      <c r="E16" s="46">
        <f t="shared" si="0"/>
        <v>0</v>
      </c>
    </row>
    <row r="17" spans="2:5" ht="13.5" thickBot="1" x14ac:dyDescent="0.25">
      <c r="B17" s="100" t="s">
        <v>98</v>
      </c>
      <c r="C17" s="103"/>
      <c r="D17" s="92">
        <v>155</v>
      </c>
      <c r="E17" s="46">
        <f t="shared" si="0"/>
        <v>0</v>
      </c>
    </row>
    <row r="18" spans="2:5" ht="13.5" thickBot="1" x14ac:dyDescent="0.25">
      <c r="B18" s="100" t="s">
        <v>99</v>
      </c>
      <c r="C18" s="103"/>
      <c r="D18" s="92">
        <v>196</v>
      </c>
      <c r="E18" s="46">
        <f t="shared" si="0"/>
        <v>0</v>
      </c>
    </row>
    <row r="19" spans="2:5" ht="13.5" thickBot="1" x14ac:dyDescent="0.25">
      <c r="B19" s="100" t="s">
        <v>100</v>
      </c>
      <c r="C19" s="103"/>
      <c r="D19" s="92">
        <v>239</v>
      </c>
      <c r="E19" s="46">
        <f t="shared" si="0"/>
        <v>0</v>
      </c>
    </row>
    <row r="20" spans="2:5" ht="13.5" thickBot="1" x14ac:dyDescent="0.25">
      <c r="B20" s="158" t="s">
        <v>101</v>
      </c>
      <c r="C20" s="159"/>
      <c r="D20" s="159"/>
      <c r="E20" s="160"/>
    </row>
    <row r="21" spans="2:5" ht="13.5" thickBot="1" x14ac:dyDescent="0.25">
      <c r="B21" s="40" t="s">
        <v>95</v>
      </c>
      <c r="C21" s="103"/>
      <c r="D21" s="92">
        <v>21</v>
      </c>
      <c r="E21" s="46">
        <f t="shared" si="0"/>
        <v>0</v>
      </c>
    </row>
    <row r="22" spans="2:5" ht="13.5" thickBot="1" x14ac:dyDescent="0.25">
      <c r="B22" s="158" t="s">
        <v>102</v>
      </c>
      <c r="C22" s="159"/>
      <c r="D22" s="159"/>
      <c r="E22" s="160"/>
    </row>
    <row r="23" spans="2:5" ht="13.5" thickBot="1" x14ac:dyDescent="0.25">
      <c r="B23" s="52" t="s">
        <v>103</v>
      </c>
      <c r="C23" s="103"/>
      <c r="D23" s="92">
        <v>73</v>
      </c>
      <c r="E23" s="46">
        <f t="shared" si="0"/>
        <v>0</v>
      </c>
    </row>
    <row r="24" spans="2:5" ht="13.5" thickBot="1" x14ac:dyDescent="0.25">
      <c r="B24" s="52" t="s">
        <v>104</v>
      </c>
      <c r="C24" s="103"/>
      <c r="D24" s="92">
        <v>57</v>
      </c>
      <c r="E24" s="46">
        <f t="shared" si="0"/>
        <v>0</v>
      </c>
    </row>
    <row r="25" spans="2:5" ht="13.5" thickBot="1" x14ac:dyDescent="0.25">
      <c r="B25" s="52" t="s">
        <v>105</v>
      </c>
      <c r="C25" s="103"/>
      <c r="D25" s="92">
        <v>73</v>
      </c>
      <c r="E25" s="46">
        <f t="shared" si="0"/>
        <v>0</v>
      </c>
    </row>
    <row r="26" spans="2:5" ht="13.5" thickBot="1" x14ac:dyDescent="0.25">
      <c r="B26" s="52" t="s">
        <v>104</v>
      </c>
      <c r="C26" s="104"/>
      <c r="D26" s="92">
        <v>57</v>
      </c>
      <c r="E26" s="46">
        <f t="shared" si="0"/>
        <v>0</v>
      </c>
    </row>
    <row r="27" spans="2:5" ht="13.5" thickBot="1" x14ac:dyDescent="0.25">
      <c r="B27" s="52" t="s">
        <v>106</v>
      </c>
      <c r="C27" s="103"/>
      <c r="D27" s="92">
        <v>68</v>
      </c>
      <c r="E27" s="46">
        <f t="shared" si="0"/>
        <v>0</v>
      </c>
    </row>
    <row r="28" spans="2:5" ht="13.5" thickBot="1" x14ac:dyDescent="0.25">
      <c r="B28" s="53" t="s">
        <v>107</v>
      </c>
      <c r="C28" s="103"/>
      <c r="D28" s="92">
        <v>57</v>
      </c>
      <c r="E28" s="54">
        <f t="shared" si="0"/>
        <v>0</v>
      </c>
    </row>
    <row r="29" spans="2:5" ht="13.5" thickBot="1" x14ac:dyDescent="0.25">
      <c r="B29" s="158" t="s">
        <v>108</v>
      </c>
      <c r="C29" s="159"/>
      <c r="D29" s="159"/>
      <c r="E29" s="160"/>
    </row>
    <row r="30" spans="2:5" ht="13.5" thickBot="1" x14ac:dyDescent="0.25">
      <c r="B30" s="40" t="s">
        <v>109</v>
      </c>
      <c r="C30" s="103"/>
      <c r="D30" s="92">
        <v>68</v>
      </c>
      <c r="E30" s="46">
        <f>C30*D30</f>
        <v>0</v>
      </c>
    </row>
    <row r="31" spans="2:5" ht="13.5" thickBot="1" x14ac:dyDescent="0.25">
      <c r="B31" s="148" t="s">
        <v>7</v>
      </c>
      <c r="C31" s="149"/>
      <c r="D31" s="149"/>
      <c r="E31" s="150"/>
    </row>
    <row r="32" spans="2:5" ht="13.5" thickBot="1" x14ac:dyDescent="0.25">
      <c r="B32" s="141" t="s">
        <v>262</v>
      </c>
      <c r="C32" s="143"/>
      <c r="D32" s="144"/>
      <c r="E32" s="55">
        <f>IF(SUM(E8,E9,E10,E11,E12,E14,E16,E17,E18,E19,E21,E23,E24,E25,E26,E27,E28,E30)=0,0,IF(SUM(E8,E9,E10,E11,E12,E14,E16,E17,E18,E19,E21,E23,E24,E25,E26,E27,E28,E30)&gt;102,SUM(E8,E9,E10,E11,E12,E14,E16,E17,E18,E19,E21,E23,E24,E25,E26,E27,E28,E30),102))</f>
        <v>0</v>
      </c>
    </row>
    <row r="33" spans="2:5" ht="13.5" thickBot="1" x14ac:dyDescent="0.25">
      <c r="B33" s="141" t="s">
        <v>85</v>
      </c>
      <c r="C33" s="144"/>
      <c r="D33" s="105"/>
      <c r="E33" s="55">
        <f>IF(OR(D33="NO",ISBLANK(D33)),0,IF(SUM(E8:E12,E14,E16:E19,E21,E23:E28,E30)=0,0,IF(SUM(E8:E12,E14,E16:E19,E21,E23:E28,E30)&gt;85,SUM(E8:E12,E14,E16:E19,E21,E23:E28,E30),102)))</f>
        <v>0</v>
      </c>
    </row>
    <row r="34" spans="2:5" ht="13.5" thickBot="1" x14ac:dyDescent="0.25">
      <c r="B34" s="141" t="s">
        <v>110</v>
      </c>
      <c r="C34" s="144"/>
      <c r="D34" s="105"/>
      <c r="E34" s="55">
        <f>IF(OR(D34="NO",ISBLANK(D34)),0,0.3*E32)</f>
        <v>0</v>
      </c>
    </row>
    <row r="35" spans="2:5" ht="13.5" thickBot="1" x14ac:dyDescent="0.25">
      <c r="B35" s="76" t="s">
        <v>111</v>
      </c>
      <c r="C35" s="77"/>
      <c r="D35" s="78"/>
      <c r="E35" s="56">
        <f>SUM(E32:E34)</f>
        <v>0</v>
      </c>
    </row>
    <row r="36" spans="2:5" ht="12.75" customHeight="1" x14ac:dyDescent="0.2">
      <c r="B36" s="153" t="s">
        <v>112</v>
      </c>
      <c r="C36" s="153"/>
      <c r="D36" s="153"/>
      <c r="E36" s="153"/>
    </row>
    <row r="37" spans="2:5" x14ac:dyDescent="0.2">
      <c r="B37" s="154"/>
      <c r="C37" s="154"/>
      <c r="D37" s="154"/>
      <c r="E37" s="154"/>
    </row>
    <row r="38" spans="2:5" x14ac:dyDescent="0.2">
      <c r="B38" s="154"/>
      <c r="C38" s="154"/>
      <c r="D38" s="154"/>
      <c r="E38" s="154"/>
    </row>
  </sheetData>
  <mergeCells count="13">
    <mergeCell ref="B4:E4"/>
    <mergeCell ref="B3:E3"/>
    <mergeCell ref="B36:E38"/>
    <mergeCell ref="B32:D32"/>
    <mergeCell ref="B7:E7"/>
    <mergeCell ref="B13:E13"/>
    <mergeCell ref="B15:E15"/>
    <mergeCell ref="B20:E20"/>
    <mergeCell ref="B22:E22"/>
    <mergeCell ref="B29:E29"/>
    <mergeCell ref="B31:E31"/>
    <mergeCell ref="B33:C33"/>
    <mergeCell ref="B34:C34"/>
  </mergeCells>
  <dataValidations count="1">
    <dataValidation type="list" allowBlank="1" showInputMessage="1" showErrorMessage="1" sqref="D33:D34" xr:uid="{00000000-0002-0000-0300-000000000000}">
      <formula1>"YES,NO"</formula1>
    </dataValidation>
  </dataValidations>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E47"/>
  <sheetViews>
    <sheetView showGridLines="0" showRowColHeaders="0" topLeftCell="A11" zoomScaleNormal="100" workbookViewId="0">
      <selection activeCell="B46" sqref="B46:E47"/>
    </sheetView>
  </sheetViews>
  <sheetFormatPr defaultRowHeight="12.75" x14ac:dyDescent="0.2"/>
  <cols>
    <col min="2" max="2" width="37.42578125" customWidth="1"/>
    <col min="5" max="5" width="9.85546875" bestFit="1" customWidth="1"/>
  </cols>
  <sheetData>
    <row r="2" spans="2:5" ht="15.75" x14ac:dyDescent="0.2">
      <c r="B2" s="138" t="s">
        <v>0</v>
      </c>
      <c r="C2" s="138"/>
      <c r="D2" s="138"/>
      <c r="E2" s="138"/>
    </row>
    <row r="3" spans="2:5" ht="15.75" x14ac:dyDescent="0.2">
      <c r="B3" s="138" t="s">
        <v>113</v>
      </c>
      <c r="C3" s="138"/>
      <c r="D3" s="138"/>
      <c r="E3" s="138"/>
    </row>
    <row r="4" spans="2:5" ht="13.5" thickBot="1" x14ac:dyDescent="0.25"/>
    <row r="5" spans="2:5" ht="13.5" thickBot="1" x14ac:dyDescent="0.25">
      <c r="B5" s="49" t="s">
        <v>50</v>
      </c>
      <c r="C5" s="51" t="s">
        <v>248</v>
      </c>
      <c r="D5" s="51" t="s">
        <v>247</v>
      </c>
      <c r="E5" s="51" t="s">
        <v>114</v>
      </c>
    </row>
    <row r="6" spans="2:5" ht="13.5" thickBot="1" x14ac:dyDescent="0.25">
      <c r="B6" s="158" t="s">
        <v>264</v>
      </c>
      <c r="C6" s="159"/>
      <c r="D6" s="159"/>
      <c r="E6" s="160"/>
    </row>
    <row r="7" spans="2:5" ht="13.5" thickBot="1" x14ac:dyDescent="0.25">
      <c r="B7" s="101" t="s">
        <v>115</v>
      </c>
      <c r="C7" s="106"/>
      <c r="D7" s="92">
        <v>197</v>
      </c>
      <c r="E7" s="46">
        <f>C7*D7</f>
        <v>0</v>
      </c>
    </row>
    <row r="8" spans="2:5" ht="13.5" thickBot="1" x14ac:dyDescent="0.25">
      <c r="B8" s="101" t="s">
        <v>116</v>
      </c>
      <c r="C8" s="106"/>
      <c r="D8" s="92">
        <v>36</v>
      </c>
      <c r="E8" s="46">
        <f>C8*D8</f>
        <v>0</v>
      </c>
    </row>
    <row r="9" spans="2:5" ht="13.5" thickBot="1" x14ac:dyDescent="0.25">
      <c r="B9" s="101" t="s">
        <v>117</v>
      </c>
      <c r="C9" s="106"/>
      <c r="D9" s="93">
        <v>60</v>
      </c>
      <c r="E9" s="46">
        <f>C9*D9</f>
        <v>0</v>
      </c>
    </row>
    <row r="10" spans="2:5" ht="23.25" thickBot="1" x14ac:dyDescent="0.25">
      <c r="B10" s="101" t="s">
        <v>118</v>
      </c>
      <c r="C10" s="106"/>
      <c r="D10" s="92">
        <v>108</v>
      </c>
      <c r="E10" s="46">
        <f>C10*D10</f>
        <v>0</v>
      </c>
    </row>
    <row r="11" spans="2:5" ht="13.5" thickBot="1" x14ac:dyDescent="0.25">
      <c r="B11" s="158" t="s">
        <v>257</v>
      </c>
      <c r="C11" s="159"/>
      <c r="D11" s="159"/>
      <c r="E11" s="160"/>
    </row>
    <row r="12" spans="2:5" ht="13.5" thickBot="1" x14ac:dyDescent="0.25">
      <c r="B12" s="44" t="s">
        <v>119</v>
      </c>
      <c r="C12" s="106"/>
      <c r="D12" s="92">
        <v>138</v>
      </c>
      <c r="E12" s="46">
        <f>C12*D12</f>
        <v>0</v>
      </c>
    </row>
    <row r="13" spans="2:5" ht="13.5" thickBot="1" x14ac:dyDescent="0.25">
      <c r="B13" s="44" t="s">
        <v>120</v>
      </c>
      <c r="C13" s="106"/>
      <c r="D13" s="92">
        <v>152</v>
      </c>
      <c r="E13" s="46">
        <f t="shared" ref="E13:E21" si="0">C13*D13</f>
        <v>0</v>
      </c>
    </row>
    <row r="14" spans="2:5" ht="13.5" thickBot="1" x14ac:dyDescent="0.25">
      <c r="B14" s="44" t="s">
        <v>121</v>
      </c>
      <c r="C14" s="106"/>
      <c r="D14" s="92">
        <v>239</v>
      </c>
      <c r="E14" s="46">
        <f t="shared" si="0"/>
        <v>0</v>
      </c>
    </row>
    <row r="15" spans="2:5" ht="13.5" thickBot="1" x14ac:dyDescent="0.25">
      <c r="B15" s="44" t="s">
        <v>122</v>
      </c>
      <c r="C15" s="106"/>
      <c r="D15" s="92">
        <v>357</v>
      </c>
      <c r="E15" s="46">
        <f t="shared" si="0"/>
        <v>0</v>
      </c>
    </row>
    <row r="16" spans="2:5" ht="13.5" thickBot="1" x14ac:dyDescent="0.25">
      <c r="B16" s="44" t="s">
        <v>123</v>
      </c>
      <c r="C16" s="106"/>
      <c r="D16" s="92">
        <v>715</v>
      </c>
      <c r="E16" s="46">
        <f t="shared" si="0"/>
        <v>0</v>
      </c>
    </row>
    <row r="17" spans="2:5" ht="13.5" thickBot="1" x14ac:dyDescent="0.25">
      <c r="B17" s="44" t="s">
        <v>124</v>
      </c>
      <c r="C17" s="106"/>
      <c r="D17" s="92">
        <v>98</v>
      </c>
      <c r="E17" s="46">
        <f t="shared" si="0"/>
        <v>0</v>
      </c>
    </row>
    <row r="18" spans="2:5" ht="13.5" thickBot="1" x14ac:dyDescent="0.25">
      <c r="B18" s="158" t="s">
        <v>258</v>
      </c>
      <c r="C18" s="159"/>
      <c r="D18" s="159"/>
      <c r="E18" s="160"/>
    </row>
    <row r="19" spans="2:5" ht="13.5" thickBot="1" x14ac:dyDescent="0.25">
      <c r="B19" s="44" t="s">
        <v>119</v>
      </c>
      <c r="C19" s="106"/>
      <c r="D19" s="92">
        <v>107</v>
      </c>
      <c r="E19" s="46">
        <f t="shared" si="0"/>
        <v>0</v>
      </c>
    </row>
    <row r="20" spans="2:5" ht="13.5" thickBot="1" x14ac:dyDescent="0.25">
      <c r="B20" s="44" t="s">
        <v>120</v>
      </c>
      <c r="C20" s="106"/>
      <c r="D20" s="92">
        <v>132</v>
      </c>
      <c r="E20" s="46">
        <f t="shared" si="0"/>
        <v>0</v>
      </c>
    </row>
    <row r="21" spans="2:5" ht="13.5" thickBot="1" x14ac:dyDescent="0.25">
      <c r="B21" s="44" t="s">
        <v>121</v>
      </c>
      <c r="C21" s="106"/>
      <c r="D21" s="92">
        <v>215</v>
      </c>
      <c r="E21" s="46">
        <f t="shared" si="0"/>
        <v>0</v>
      </c>
    </row>
    <row r="22" spans="2:5" ht="13.5" thickBot="1" x14ac:dyDescent="0.25">
      <c r="B22" s="161" t="s">
        <v>125</v>
      </c>
      <c r="C22" s="162"/>
      <c r="D22" s="162"/>
      <c r="E22" s="163"/>
    </row>
    <row r="23" spans="2:5" ht="13.5" thickBot="1" x14ac:dyDescent="0.25">
      <c r="B23" s="158" t="s">
        <v>259</v>
      </c>
      <c r="C23" s="159"/>
      <c r="D23" s="159"/>
      <c r="E23" s="160"/>
    </row>
    <row r="24" spans="2:5" ht="13.5" thickBot="1" x14ac:dyDescent="0.25">
      <c r="B24" s="161" t="s">
        <v>126</v>
      </c>
      <c r="C24" s="162"/>
      <c r="D24" s="162"/>
      <c r="E24" s="163"/>
    </row>
    <row r="25" spans="2:5" ht="13.5" thickBot="1" x14ac:dyDescent="0.25">
      <c r="B25" s="102" t="s">
        <v>127</v>
      </c>
      <c r="C25" s="106"/>
      <c r="D25" s="94">
        <v>10</v>
      </c>
      <c r="E25" s="46">
        <f t="shared" ref="E25:E40" si="1">C25*D25</f>
        <v>0</v>
      </c>
    </row>
    <row r="26" spans="2:5" ht="13.5" thickBot="1" x14ac:dyDescent="0.25">
      <c r="B26" s="161" t="s">
        <v>128</v>
      </c>
      <c r="C26" s="162"/>
      <c r="D26" s="162"/>
      <c r="E26" s="163"/>
    </row>
    <row r="27" spans="2:5" ht="13.5" thickBot="1" x14ac:dyDescent="0.25">
      <c r="B27" s="102" t="s">
        <v>129</v>
      </c>
      <c r="C27" s="106"/>
      <c r="D27" s="94">
        <v>102</v>
      </c>
      <c r="E27" s="46">
        <f t="shared" si="1"/>
        <v>0</v>
      </c>
    </row>
    <row r="28" spans="2:5" ht="13.5" thickBot="1" x14ac:dyDescent="0.25">
      <c r="B28" s="102" t="s">
        <v>130</v>
      </c>
      <c r="C28" s="106"/>
      <c r="D28" s="94">
        <v>10</v>
      </c>
      <c r="E28" s="46">
        <f t="shared" si="1"/>
        <v>0</v>
      </c>
    </row>
    <row r="29" spans="2:5" ht="13.5" thickBot="1" x14ac:dyDescent="0.25">
      <c r="B29" s="158" t="s">
        <v>265</v>
      </c>
      <c r="C29" s="159"/>
      <c r="D29" s="159"/>
      <c r="E29" s="160"/>
    </row>
    <row r="30" spans="2:5" ht="13.5" thickBot="1" x14ac:dyDescent="0.25">
      <c r="B30" s="44" t="s">
        <v>266</v>
      </c>
      <c r="C30" s="106"/>
      <c r="D30" s="92">
        <v>138</v>
      </c>
      <c r="E30" s="46">
        <f>C30*D30</f>
        <v>0</v>
      </c>
    </row>
    <row r="31" spans="2:5" ht="13.5" thickBot="1" x14ac:dyDescent="0.25">
      <c r="B31" s="44" t="s">
        <v>267</v>
      </c>
      <c r="C31" s="106"/>
      <c r="D31" s="92">
        <v>179</v>
      </c>
      <c r="E31" s="46">
        <f t="shared" ref="E31:E36" si="2">C31*D31</f>
        <v>0</v>
      </c>
    </row>
    <row r="32" spans="2:5" ht="13.5" thickBot="1" x14ac:dyDescent="0.25">
      <c r="B32" s="44" t="s">
        <v>268</v>
      </c>
      <c r="C32" s="106"/>
      <c r="D32" s="92">
        <v>228</v>
      </c>
      <c r="E32" s="46">
        <f t="shared" si="2"/>
        <v>0</v>
      </c>
    </row>
    <row r="33" spans="2:5" ht="13.5" thickBot="1" x14ac:dyDescent="0.25">
      <c r="B33" s="44" t="s">
        <v>269</v>
      </c>
      <c r="C33" s="106"/>
      <c r="D33" s="92">
        <v>230</v>
      </c>
      <c r="E33" s="46">
        <f t="shared" si="2"/>
        <v>0</v>
      </c>
    </row>
    <row r="34" spans="2:5" ht="13.5" thickBot="1" x14ac:dyDescent="0.25">
      <c r="B34" s="44" t="s">
        <v>270</v>
      </c>
      <c r="C34" s="106"/>
      <c r="D34" s="92">
        <v>14</v>
      </c>
      <c r="E34" s="46">
        <f t="shared" si="2"/>
        <v>0</v>
      </c>
    </row>
    <row r="35" spans="2:5" ht="13.5" thickBot="1" x14ac:dyDescent="0.25">
      <c r="B35" s="44" t="s">
        <v>271</v>
      </c>
      <c r="C35" s="106"/>
      <c r="D35" s="92">
        <v>287</v>
      </c>
      <c r="E35" s="46">
        <f t="shared" si="2"/>
        <v>0</v>
      </c>
    </row>
    <row r="36" spans="2:5" ht="13.5" thickBot="1" x14ac:dyDescent="0.25">
      <c r="B36" s="44" t="s">
        <v>272</v>
      </c>
      <c r="C36" s="106"/>
      <c r="D36" s="92">
        <v>572</v>
      </c>
      <c r="E36" s="46">
        <f t="shared" si="2"/>
        <v>0</v>
      </c>
    </row>
    <row r="37" spans="2:5" ht="13.5" thickBot="1" x14ac:dyDescent="0.25">
      <c r="B37" s="158" t="s">
        <v>260</v>
      </c>
      <c r="C37" s="159"/>
      <c r="D37" s="159"/>
      <c r="E37" s="160"/>
    </row>
    <row r="38" spans="2:5" ht="13.5" thickBot="1" x14ac:dyDescent="0.25">
      <c r="B38" s="97" t="s">
        <v>131</v>
      </c>
      <c r="C38" s="106"/>
      <c r="D38" s="94">
        <v>101</v>
      </c>
      <c r="E38" s="46">
        <f t="shared" si="1"/>
        <v>0</v>
      </c>
    </row>
    <row r="39" spans="2:5" ht="13.5" thickBot="1" x14ac:dyDescent="0.25">
      <c r="B39" s="97" t="s">
        <v>132</v>
      </c>
      <c r="C39" s="106"/>
      <c r="D39" s="94">
        <v>98</v>
      </c>
      <c r="E39" s="46">
        <f t="shared" si="1"/>
        <v>0</v>
      </c>
    </row>
    <row r="40" spans="2:5" ht="23.25" thickBot="1" x14ac:dyDescent="0.25">
      <c r="B40" s="97" t="s">
        <v>133</v>
      </c>
      <c r="C40" s="106"/>
      <c r="D40" s="94">
        <v>98</v>
      </c>
      <c r="E40" s="46">
        <f t="shared" si="1"/>
        <v>0</v>
      </c>
    </row>
    <row r="41" spans="2:5" ht="13.5" thickBot="1" x14ac:dyDescent="0.25">
      <c r="B41" s="148" t="s">
        <v>8</v>
      </c>
      <c r="C41" s="149"/>
      <c r="D41" s="149"/>
      <c r="E41" s="150"/>
    </row>
    <row r="42" spans="2:5" ht="13.5" thickBot="1" x14ac:dyDescent="0.25">
      <c r="B42" s="161" t="s">
        <v>263</v>
      </c>
      <c r="C42" s="162"/>
      <c r="D42" s="163"/>
      <c r="E42" s="46">
        <f>IF(SUM(E7:E40)=0,0,IF(SUM(E7:E40)&gt;102,SUM(E7:E40),102))</f>
        <v>0</v>
      </c>
    </row>
    <row r="43" spans="2:5" ht="13.5" thickBot="1" x14ac:dyDescent="0.25">
      <c r="B43" s="141" t="s">
        <v>85</v>
      </c>
      <c r="C43" s="144"/>
      <c r="D43" s="105"/>
      <c r="E43" s="46">
        <f>IF(OR(D43="NO",ISBLANK(D43)),0,SUM(E7:E10,E12:E17,E19:E21,E25,E27:E28,E38:E40))</f>
        <v>0</v>
      </c>
    </row>
    <row r="44" spans="2:5" ht="13.5" thickBot="1" x14ac:dyDescent="0.25">
      <c r="B44" s="141" t="s">
        <v>86</v>
      </c>
      <c r="C44" s="144"/>
      <c r="D44" s="105"/>
      <c r="E44" s="46">
        <f>IF(OR(D44="NO",ISBLANK(D44)),0,0.25*E42)</f>
        <v>0</v>
      </c>
    </row>
    <row r="45" spans="2:5" ht="13.5" thickBot="1" x14ac:dyDescent="0.25">
      <c r="B45" s="145" t="s">
        <v>134</v>
      </c>
      <c r="C45" s="146"/>
      <c r="D45" s="147"/>
      <c r="E45" s="107">
        <f>SUM(E42:E44)</f>
        <v>0</v>
      </c>
    </row>
    <row r="46" spans="2:5" ht="20.25" customHeight="1" x14ac:dyDescent="0.2">
      <c r="B46" s="164" t="s">
        <v>135</v>
      </c>
      <c r="C46" s="164"/>
      <c r="D46" s="164"/>
      <c r="E46" s="164"/>
    </row>
    <row r="47" spans="2:5" x14ac:dyDescent="0.2">
      <c r="B47" s="165"/>
      <c r="C47" s="165"/>
      <c r="D47" s="165"/>
      <c r="E47" s="165"/>
    </row>
  </sheetData>
  <mergeCells count="17">
    <mergeCell ref="B24:E24"/>
    <mergeCell ref="B26:E26"/>
    <mergeCell ref="B44:C44"/>
    <mergeCell ref="B45:D45"/>
    <mergeCell ref="B46:E47"/>
    <mergeCell ref="B2:E2"/>
    <mergeCell ref="B3:E3"/>
    <mergeCell ref="B29:E29"/>
    <mergeCell ref="B42:D42"/>
    <mergeCell ref="B43:C43"/>
    <mergeCell ref="B6:E6"/>
    <mergeCell ref="B11:E11"/>
    <mergeCell ref="B18:E18"/>
    <mergeCell ref="B22:E22"/>
    <mergeCell ref="B23:E23"/>
    <mergeCell ref="B37:E37"/>
    <mergeCell ref="B41:E41"/>
  </mergeCells>
  <pageMargins left="0.75" right="0.75" top="1" bottom="1" header="0.5" footer="0.5"/>
  <pageSetup orientation="portrait" r:id="rId1"/>
  <headerFooter alignWithMargins="0"/>
  <extLst>
    <ext xmlns:x14="http://schemas.microsoft.com/office/spreadsheetml/2009/9/main" uri="{CCE6A557-97BC-4b89-ADB6-D9C93CAAB3DF}">
      <x14:dataValidations xmlns:xm="http://schemas.microsoft.com/office/excel/2006/main" count="1">
        <x14:dataValidation type="list" showInputMessage="1" showErrorMessage="1" xr:uid="{BE54078E-255C-4AC0-9F5A-4A80DE02F908}">
          <x14:formula1>
            <xm:f>'Formula Data'!$C$36:$C$37</xm:f>
          </x14:formula1>
          <xm:sqref>D43:D44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E40"/>
  <sheetViews>
    <sheetView showGridLines="0" showRowColHeaders="0" zoomScaleNormal="100" workbookViewId="0">
      <selection activeCell="B3" sqref="B3:E3"/>
    </sheetView>
  </sheetViews>
  <sheetFormatPr defaultRowHeight="12.75" x14ac:dyDescent="0.2"/>
  <cols>
    <col min="2" max="2" width="35.140625" customWidth="1"/>
    <col min="5" max="5" width="10.5703125" bestFit="1" customWidth="1"/>
  </cols>
  <sheetData>
    <row r="3" spans="2:5" ht="15.75" x14ac:dyDescent="0.2">
      <c r="B3" s="166" t="s">
        <v>0</v>
      </c>
      <c r="C3" s="166"/>
      <c r="D3" s="166"/>
      <c r="E3" s="166"/>
    </row>
    <row r="4" spans="2:5" ht="15.75" x14ac:dyDescent="0.25">
      <c r="B4" s="167" t="s">
        <v>136</v>
      </c>
      <c r="C4" s="167"/>
      <c r="D4" s="167"/>
      <c r="E4" s="167"/>
    </row>
    <row r="5" spans="2:5" ht="13.5" thickBot="1" x14ac:dyDescent="0.25">
      <c r="B5" s="58"/>
      <c r="C5" s="58"/>
      <c r="D5" s="58"/>
      <c r="E5" s="58"/>
    </row>
    <row r="6" spans="2:5" ht="13.5" thickBot="1" x14ac:dyDescent="0.25">
      <c r="B6" s="49" t="s">
        <v>50</v>
      </c>
      <c r="C6" s="51" t="s">
        <v>248</v>
      </c>
      <c r="D6" s="51" t="s">
        <v>247</v>
      </c>
      <c r="E6" s="51" t="s">
        <v>114</v>
      </c>
    </row>
    <row r="7" spans="2:5" ht="13.5" thickBot="1" x14ac:dyDescent="0.25">
      <c r="B7" s="158" t="s">
        <v>137</v>
      </c>
      <c r="C7" s="159"/>
      <c r="D7" s="159"/>
      <c r="E7" s="160"/>
    </row>
    <row r="8" spans="2:5" ht="13.5" thickBot="1" x14ac:dyDescent="0.25">
      <c r="B8" s="44" t="s">
        <v>138</v>
      </c>
      <c r="C8" s="106"/>
      <c r="D8" s="95">
        <v>809</v>
      </c>
      <c r="E8" s="46">
        <f>C8*D8</f>
        <v>0</v>
      </c>
    </row>
    <row r="9" spans="2:5" ht="12.75" customHeight="1" thickBot="1" x14ac:dyDescent="0.25">
      <c r="B9" s="44" t="s">
        <v>139</v>
      </c>
      <c r="C9" s="106"/>
      <c r="D9" s="95">
        <v>208</v>
      </c>
      <c r="E9" s="46">
        <f>C9*D9</f>
        <v>0</v>
      </c>
    </row>
    <row r="10" spans="2:5" ht="13.5" thickBot="1" x14ac:dyDescent="0.25">
      <c r="B10" s="44" t="s">
        <v>140</v>
      </c>
      <c r="C10" s="106"/>
      <c r="D10" s="96">
        <v>809</v>
      </c>
      <c r="E10" s="46">
        <f>C10*D10</f>
        <v>0</v>
      </c>
    </row>
    <row r="11" spans="2:5" ht="13.5" customHeight="1" thickBot="1" x14ac:dyDescent="0.25">
      <c r="B11" s="44" t="s">
        <v>141</v>
      </c>
      <c r="C11" s="106"/>
      <c r="D11" s="95">
        <v>809</v>
      </c>
      <c r="E11" s="46">
        <f>C11*D11</f>
        <v>0</v>
      </c>
    </row>
    <row r="12" spans="2:5" ht="13.5" thickBot="1" x14ac:dyDescent="0.25">
      <c r="B12" s="158" t="s">
        <v>142</v>
      </c>
      <c r="C12" s="159"/>
      <c r="D12" s="159"/>
      <c r="E12" s="160"/>
    </row>
    <row r="13" spans="2:5" ht="13.5" thickBot="1" x14ac:dyDescent="0.25">
      <c r="B13" s="44" t="s">
        <v>144</v>
      </c>
      <c r="C13" s="106"/>
      <c r="D13" s="92">
        <v>1471</v>
      </c>
      <c r="E13" s="46">
        <f t="shared" ref="E13:E27" si="0">C13*D13</f>
        <v>0</v>
      </c>
    </row>
    <row r="14" spans="2:5" ht="13.5" thickBot="1" x14ac:dyDescent="0.25">
      <c r="B14" s="44" t="s">
        <v>274</v>
      </c>
      <c r="C14" s="106"/>
      <c r="D14" s="92">
        <v>1807</v>
      </c>
      <c r="E14" s="46">
        <f t="shared" si="0"/>
        <v>0</v>
      </c>
    </row>
    <row r="15" spans="2:5" ht="13.5" thickBot="1" x14ac:dyDescent="0.25">
      <c r="B15" s="44" t="s">
        <v>146</v>
      </c>
      <c r="C15" s="106"/>
      <c r="D15" s="92">
        <v>1471</v>
      </c>
      <c r="E15" s="46">
        <f t="shared" si="0"/>
        <v>0</v>
      </c>
    </row>
    <row r="16" spans="2:5" ht="13.5" thickBot="1" x14ac:dyDescent="0.25">
      <c r="B16" s="44" t="s">
        <v>147</v>
      </c>
      <c r="C16" s="106"/>
      <c r="D16" s="92">
        <v>1201</v>
      </c>
      <c r="E16" s="46">
        <f t="shared" si="0"/>
        <v>0</v>
      </c>
    </row>
    <row r="17" spans="2:5" ht="13.5" thickBot="1" x14ac:dyDescent="0.25">
      <c r="B17" s="44" t="s">
        <v>148</v>
      </c>
      <c r="C17" s="106"/>
      <c r="D17" s="92">
        <v>534</v>
      </c>
      <c r="E17" s="46">
        <f t="shared" si="0"/>
        <v>0</v>
      </c>
    </row>
    <row r="18" spans="2:5" ht="13.5" thickBot="1" x14ac:dyDescent="0.25">
      <c r="B18" s="44" t="s">
        <v>145</v>
      </c>
      <c r="C18" s="106"/>
      <c r="D18" s="92">
        <v>1027</v>
      </c>
      <c r="E18" s="46">
        <f t="shared" si="0"/>
        <v>0</v>
      </c>
    </row>
    <row r="19" spans="2:5" ht="13.5" thickBot="1" x14ac:dyDescent="0.25">
      <c r="B19" s="44" t="s">
        <v>149</v>
      </c>
      <c r="C19" s="106"/>
      <c r="D19" s="92">
        <v>1471</v>
      </c>
      <c r="E19" s="46">
        <f t="shared" si="0"/>
        <v>0</v>
      </c>
    </row>
    <row r="20" spans="2:5" ht="13.5" thickBot="1" x14ac:dyDescent="0.25">
      <c r="B20" s="44" t="s">
        <v>273</v>
      </c>
      <c r="C20" s="106"/>
      <c r="D20" s="92">
        <v>1471</v>
      </c>
      <c r="E20" s="46">
        <f t="shared" si="0"/>
        <v>0</v>
      </c>
    </row>
    <row r="21" spans="2:5" ht="13.5" thickBot="1" x14ac:dyDescent="0.25">
      <c r="B21" s="44" t="s">
        <v>150</v>
      </c>
      <c r="C21" s="106"/>
      <c r="D21" s="92">
        <v>1201</v>
      </c>
      <c r="E21" s="46">
        <f t="shared" si="0"/>
        <v>0</v>
      </c>
    </row>
    <row r="22" spans="2:5" ht="13.5" thickBot="1" x14ac:dyDescent="0.25">
      <c r="B22" s="44" t="s">
        <v>151</v>
      </c>
      <c r="C22" s="106"/>
      <c r="D22" s="92">
        <v>1807</v>
      </c>
      <c r="E22" s="46">
        <f t="shared" si="0"/>
        <v>0</v>
      </c>
    </row>
    <row r="23" spans="2:5" ht="13.5" thickBot="1" x14ac:dyDescent="0.25">
      <c r="B23" s="44" t="s">
        <v>152</v>
      </c>
      <c r="C23" s="106"/>
      <c r="D23" s="92">
        <v>1201</v>
      </c>
      <c r="E23" s="46">
        <f t="shared" si="0"/>
        <v>0</v>
      </c>
    </row>
    <row r="24" spans="2:5" ht="13.5" thickBot="1" x14ac:dyDescent="0.25">
      <c r="B24" s="44" t="s">
        <v>153</v>
      </c>
      <c r="C24" s="106"/>
      <c r="D24" s="92">
        <v>1201</v>
      </c>
      <c r="E24" s="46">
        <f t="shared" si="0"/>
        <v>0</v>
      </c>
    </row>
    <row r="25" spans="2:5" ht="13.5" thickBot="1" x14ac:dyDescent="0.25">
      <c r="B25" s="44" t="s">
        <v>143</v>
      </c>
      <c r="C25" s="106"/>
      <c r="D25" s="92">
        <v>1201</v>
      </c>
      <c r="E25" s="46">
        <f t="shared" si="0"/>
        <v>0</v>
      </c>
    </row>
    <row r="26" spans="2:5" ht="13.5" thickBot="1" x14ac:dyDescent="0.25">
      <c r="B26" s="44" t="s">
        <v>154</v>
      </c>
      <c r="C26" s="106"/>
      <c r="D26" s="92">
        <v>1201</v>
      </c>
      <c r="E26" s="46">
        <f t="shared" si="0"/>
        <v>0</v>
      </c>
    </row>
    <row r="27" spans="2:5" ht="13.5" thickBot="1" x14ac:dyDescent="0.25">
      <c r="B27" s="44" t="s">
        <v>155</v>
      </c>
      <c r="C27" s="106"/>
      <c r="D27" s="92">
        <v>1471</v>
      </c>
      <c r="E27" s="46">
        <f t="shared" si="0"/>
        <v>0</v>
      </c>
    </row>
    <row r="28" spans="2:5" ht="13.5" thickBot="1" x14ac:dyDescent="0.25">
      <c r="B28" s="158" t="s">
        <v>156</v>
      </c>
      <c r="C28" s="159"/>
      <c r="D28" s="159"/>
      <c r="E28" s="160"/>
    </row>
    <row r="29" spans="2:5" ht="13.5" thickBot="1" x14ac:dyDescent="0.25">
      <c r="B29" s="44" t="s">
        <v>157</v>
      </c>
      <c r="C29" s="106"/>
      <c r="D29" s="92">
        <v>875</v>
      </c>
      <c r="E29" s="46">
        <f t="shared" ref="E29:E30" si="1">C29*D29</f>
        <v>0</v>
      </c>
    </row>
    <row r="30" spans="2:5" ht="13.5" thickBot="1" x14ac:dyDescent="0.25">
      <c r="B30" s="44" t="s">
        <v>158</v>
      </c>
      <c r="C30" s="106"/>
      <c r="D30" s="92">
        <v>372</v>
      </c>
      <c r="E30" s="46">
        <f t="shared" si="1"/>
        <v>0</v>
      </c>
    </row>
    <row r="31" spans="2:5" ht="13.5" thickBot="1" x14ac:dyDescent="0.25">
      <c r="B31" s="158" t="s">
        <v>159</v>
      </c>
      <c r="C31" s="159"/>
      <c r="D31" s="159"/>
      <c r="E31" s="160"/>
    </row>
    <row r="32" spans="2:5" ht="13.5" thickBot="1" x14ac:dyDescent="0.25">
      <c r="B32" s="57" t="s">
        <v>157</v>
      </c>
      <c r="C32" s="106"/>
      <c r="D32" s="94">
        <v>640</v>
      </c>
      <c r="E32" s="46">
        <f>C32*D32</f>
        <v>0</v>
      </c>
    </row>
    <row r="33" spans="2:5" ht="13.5" thickBot="1" x14ac:dyDescent="0.25">
      <c r="B33" s="57" t="s">
        <v>158</v>
      </c>
      <c r="C33" s="106"/>
      <c r="D33" s="94">
        <v>304</v>
      </c>
      <c r="E33" s="46">
        <f>C33*D33</f>
        <v>0</v>
      </c>
    </row>
    <row r="34" spans="2:5" ht="13.5" thickBot="1" x14ac:dyDescent="0.25">
      <c r="B34" s="158" t="s">
        <v>160</v>
      </c>
      <c r="C34" s="159"/>
      <c r="D34" s="159"/>
      <c r="E34" s="160"/>
    </row>
    <row r="35" spans="2:5" ht="13.5" thickBot="1" x14ac:dyDescent="0.25">
      <c r="B35" s="57" t="s">
        <v>161</v>
      </c>
      <c r="C35" s="106"/>
      <c r="D35" s="94">
        <v>742</v>
      </c>
      <c r="E35" s="46">
        <f>C35*D35</f>
        <v>0</v>
      </c>
    </row>
    <row r="36" spans="2:5" ht="13.5" thickBot="1" x14ac:dyDescent="0.25">
      <c r="B36" s="57" t="s">
        <v>162</v>
      </c>
      <c r="C36" s="106"/>
      <c r="D36" s="94">
        <v>192</v>
      </c>
      <c r="E36" s="46">
        <f>C36*D36</f>
        <v>0</v>
      </c>
    </row>
    <row r="37" spans="2:5" ht="13.5" thickBot="1" x14ac:dyDescent="0.25">
      <c r="B37" s="158" t="s">
        <v>163</v>
      </c>
      <c r="C37" s="159"/>
      <c r="D37" s="159"/>
      <c r="E37" s="160"/>
    </row>
    <row r="38" spans="2:5" ht="13.5" thickBot="1" x14ac:dyDescent="0.25">
      <c r="B38" s="57" t="s">
        <v>164</v>
      </c>
      <c r="C38" s="106"/>
      <c r="D38" s="94">
        <v>70</v>
      </c>
      <c r="E38" s="46">
        <f>C38*D38</f>
        <v>0</v>
      </c>
    </row>
    <row r="39" spans="2:5" ht="13.5" thickBot="1" x14ac:dyDescent="0.25">
      <c r="B39" s="148" t="s">
        <v>10</v>
      </c>
      <c r="C39" s="149"/>
      <c r="D39" s="149"/>
      <c r="E39" s="150"/>
    </row>
    <row r="40" spans="2:5" ht="13.5" thickBot="1" x14ac:dyDescent="0.25">
      <c r="B40" s="76" t="s">
        <v>165</v>
      </c>
      <c r="C40" s="77"/>
      <c r="D40" s="77"/>
      <c r="E40" s="48">
        <f>SUM(E8:E11,E13:E27,E29:E30,E32:E33,E35:E36,E38)</f>
        <v>0</v>
      </c>
    </row>
  </sheetData>
  <sortState xmlns:xlrd2="http://schemas.microsoft.com/office/spreadsheetml/2017/richdata2" ref="B13:E27">
    <sortCondition ref="B13:B27"/>
  </sortState>
  <mergeCells count="9">
    <mergeCell ref="B3:E3"/>
    <mergeCell ref="B4:E4"/>
    <mergeCell ref="B39:E39"/>
    <mergeCell ref="B7:E7"/>
    <mergeCell ref="B12:E12"/>
    <mergeCell ref="B28:E28"/>
    <mergeCell ref="B31:E31"/>
    <mergeCell ref="B34:E34"/>
    <mergeCell ref="B37:E37"/>
  </mergeCells>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4:E31"/>
  <sheetViews>
    <sheetView showGridLines="0" showRowColHeaders="0" zoomScaleNormal="100" workbookViewId="0">
      <selection activeCell="B4" sqref="B4:E4"/>
    </sheetView>
  </sheetViews>
  <sheetFormatPr defaultRowHeight="12.75" x14ac:dyDescent="0.2"/>
  <cols>
    <col min="2" max="2" width="32.7109375" customWidth="1"/>
    <col min="3" max="3" width="12.85546875" customWidth="1"/>
  </cols>
  <sheetData>
    <row r="4" spans="2:5" ht="15.75" x14ac:dyDescent="0.2">
      <c r="B4" s="138" t="s">
        <v>0</v>
      </c>
      <c r="C4" s="138"/>
      <c r="D4" s="138"/>
      <c r="E4" s="138"/>
    </row>
    <row r="5" spans="2:5" ht="15.75" x14ac:dyDescent="0.2">
      <c r="B5" s="138" t="s">
        <v>166</v>
      </c>
      <c r="C5" s="138"/>
      <c r="D5" s="138"/>
      <c r="E5" s="138"/>
    </row>
    <row r="6" spans="2:5" ht="13.5" thickBot="1" x14ac:dyDescent="0.25"/>
    <row r="7" spans="2:5" ht="13.5" thickBot="1" x14ac:dyDescent="0.25">
      <c r="B7" s="49" t="s">
        <v>50</v>
      </c>
      <c r="C7" s="51" t="s">
        <v>254</v>
      </c>
      <c r="D7" s="51" t="s">
        <v>247</v>
      </c>
      <c r="E7" s="51" t="s">
        <v>114</v>
      </c>
    </row>
    <row r="8" spans="2:5" ht="13.5" thickBot="1" x14ac:dyDescent="0.25">
      <c r="B8" s="158" t="s">
        <v>167</v>
      </c>
      <c r="C8" s="159"/>
      <c r="D8" s="159"/>
      <c r="E8" s="160"/>
    </row>
    <row r="9" spans="2:5" ht="13.5" thickBot="1" x14ac:dyDescent="0.25">
      <c r="B9" s="101" t="s">
        <v>168</v>
      </c>
      <c r="C9" s="98">
        <v>0</v>
      </c>
      <c r="D9" s="46">
        <v>416</v>
      </c>
      <c r="E9" s="46">
        <f>C9*D9</f>
        <v>0</v>
      </c>
    </row>
    <row r="10" spans="2:5" ht="13.5" thickBot="1" x14ac:dyDescent="0.25">
      <c r="B10" s="101" t="s">
        <v>169</v>
      </c>
      <c r="C10" s="98">
        <v>0</v>
      </c>
      <c r="D10" s="46">
        <v>91</v>
      </c>
      <c r="E10" s="46">
        <f t="shared" ref="E10:E16" si="0">C10*D10</f>
        <v>0</v>
      </c>
    </row>
    <row r="11" spans="2:5" ht="13.5" thickBot="1" x14ac:dyDescent="0.25">
      <c r="B11" s="101" t="s">
        <v>253</v>
      </c>
      <c r="C11" s="98">
        <v>0</v>
      </c>
      <c r="D11" s="46">
        <v>91</v>
      </c>
      <c r="E11" s="46">
        <f t="shared" si="0"/>
        <v>0</v>
      </c>
    </row>
    <row r="12" spans="2:5" ht="13.5" thickBot="1" x14ac:dyDescent="0.25">
      <c r="B12" s="101" t="s">
        <v>170</v>
      </c>
      <c r="C12" s="98">
        <v>0</v>
      </c>
      <c r="D12" s="46">
        <v>91</v>
      </c>
      <c r="E12" s="46">
        <f t="shared" si="0"/>
        <v>0</v>
      </c>
    </row>
    <row r="13" spans="2:5" ht="13.5" thickBot="1" x14ac:dyDescent="0.25">
      <c r="B13" s="101" t="s">
        <v>251</v>
      </c>
      <c r="C13" s="98">
        <v>0</v>
      </c>
      <c r="D13" s="46">
        <v>91</v>
      </c>
      <c r="E13" s="46">
        <f t="shared" si="0"/>
        <v>0</v>
      </c>
    </row>
    <row r="14" spans="2:5" ht="13.5" thickBot="1" x14ac:dyDescent="0.25">
      <c r="B14" s="101" t="s">
        <v>171</v>
      </c>
      <c r="C14" s="98">
        <v>0</v>
      </c>
      <c r="D14" s="46">
        <v>91</v>
      </c>
      <c r="E14" s="46">
        <f t="shared" si="0"/>
        <v>0</v>
      </c>
    </row>
    <row r="15" spans="2:5" ht="13.5" thickBot="1" x14ac:dyDescent="0.25">
      <c r="B15" s="101" t="s">
        <v>275</v>
      </c>
      <c r="C15" s="98">
        <v>0</v>
      </c>
      <c r="D15" s="46">
        <v>91</v>
      </c>
      <c r="E15" s="46">
        <f t="shared" si="0"/>
        <v>0</v>
      </c>
    </row>
    <row r="16" spans="2:5" ht="13.5" thickBot="1" x14ac:dyDescent="0.25">
      <c r="B16" s="101" t="s">
        <v>252</v>
      </c>
      <c r="C16" s="98">
        <v>0</v>
      </c>
      <c r="D16" s="46">
        <v>91</v>
      </c>
      <c r="E16" s="46">
        <f t="shared" si="0"/>
        <v>0</v>
      </c>
    </row>
    <row r="17" spans="2:5" ht="13.5" thickBot="1" x14ac:dyDescent="0.25">
      <c r="B17" s="110" t="s">
        <v>172</v>
      </c>
      <c r="C17" s="51" t="s">
        <v>250</v>
      </c>
      <c r="D17" s="49"/>
      <c r="E17" s="49"/>
    </row>
    <row r="18" spans="2:5" ht="13.5" thickBot="1" x14ac:dyDescent="0.25">
      <c r="B18" s="109" t="s">
        <v>173</v>
      </c>
      <c r="C18" s="47"/>
      <c r="D18" s="46">
        <v>406.64</v>
      </c>
      <c r="E18" s="46">
        <f>IF(OR(C18="NO",ISBLANK(C18),C18=0),0,406.64)</f>
        <v>0</v>
      </c>
    </row>
    <row r="19" spans="2:5" ht="13.5" thickBot="1" x14ac:dyDescent="0.25">
      <c r="B19" s="110" t="s">
        <v>174</v>
      </c>
      <c r="C19" s="51" t="s">
        <v>250</v>
      </c>
      <c r="D19" s="49"/>
      <c r="E19" s="49"/>
    </row>
    <row r="20" spans="2:5" ht="13.5" thickBot="1" x14ac:dyDescent="0.25">
      <c r="B20" s="109" t="s">
        <v>175</v>
      </c>
      <c r="C20" s="47"/>
      <c r="D20" s="46">
        <v>416</v>
      </c>
      <c r="E20" s="46">
        <f>IF(OR(C20="NO",ISBLANK(C20),C20=0),0,416)</f>
        <v>0</v>
      </c>
    </row>
    <row r="21" spans="2:5" ht="13.5" thickBot="1" x14ac:dyDescent="0.25">
      <c r="B21" s="148" t="s">
        <v>176</v>
      </c>
      <c r="C21" s="149"/>
      <c r="D21" s="149"/>
      <c r="E21" s="150"/>
    </row>
    <row r="22" spans="2:5" ht="13.5" thickBot="1" x14ac:dyDescent="0.25">
      <c r="B22" s="76" t="s">
        <v>177</v>
      </c>
      <c r="C22" s="77"/>
      <c r="D22" s="48"/>
      <c r="E22" s="48">
        <f>SUM(E9:E16,E18,E20)</f>
        <v>0</v>
      </c>
    </row>
    <row r="31" spans="2:5" x14ac:dyDescent="0.2">
      <c r="C31" s="58"/>
    </row>
  </sheetData>
  <dataConsolidate/>
  <mergeCells count="4">
    <mergeCell ref="B4:E4"/>
    <mergeCell ref="B5:E5"/>
    <mergeCell ref="B8:E8"/>
    <mergeCell ref="B21:E21"/>
  </mergeCells>
  <dataValidations count="1">
    <dataValidation type="list" allowBlank="1" showInputMessage="1" showErrorMessage="1" sqref="C18 C20" xr:uid="{00000000-0002-0000-0600-000000000000}">
      <formula1>"YES,NO"</formula1>
    </dataValidation>
  </dataValidations>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4:D20"/>
  <sheetViews>
    <sheetView showGridLines="0" showRowColHeaders="0" zoomScaleNormal="100" workbookViewId="0">
      <selection activeCell="B4" sqref="B4:D4"/>
    </sheetView>
  </sheetViews>
  <sheetFormatPr defaultRowHeight="12.75" x14ac:dyDescent="0.2"/>
  <cols>
    <col min="2" max="2" width="26.85546875" customWidth="1"/>
    <col min="3" max="3" width="10.7109375" customWidth="1"/>
    <col min="4" max="4" width="19.5703125" customWidth="1"/>
  </cols>
  <sheetData>
    <row r="4" spans="2:4" ht="15.75" x14ac:dyDescent="0.2">
      <c r="B4" s="138" t="s">
        <v>0</v>
      </c>
      <c r="C4" s="138"/>
      <c r="D4" s="138"/>
    </row>
    <row r="5" spans="2:4" ht="15.75" x14ac:dyDescent="0.25">
      <c r="B5" s="130" t="s">
        <v>261</v>
      </c>
      <c r="C5" s="130"/>
      <c r="D5" s="130"/>
    </row>
    <row r="6" spans="2:4" ht="13.5" thickBot="1" x14ac:dyDescent="0.25"/>
    <row r="7" spans="2:4" ht="24.75" thickBot="1" x14ac:dyDescent="0.25">
      <c r="B7" s="158" t="s">
        <v>178</v>
      </c>
      <c r="C7" s="160"/>
      <c r="D7" s="108" t="s">
        <v>249</v>
      </c>
    </row>
    <row r="8" spans="2:4" ht="13.5" thickBot="1" x14ac:dyDescent="0.25">
      <c r="B8" s="44" t="s">
        <v>178</v>
      </c>
      <c r="C8" s="170"/>
      <c r="D8" s="171"/>
    </row>
    <row r="9" spans="2:4" ht="13.5" thickBot="1" x14ac:dyDescent="0.25">
      <c r="B9" s="172" t="s">
        <v>179</v>
      </c>
      <c r="C9" s="173"/>
      <c r="D9" s="174"/>
    </row>
    <row r="10" spans="2:4" ht="13.5" thickBot="1" x14ac:dyDescent="0.25">
      <c r="B10" s="161" t="s">
        <v>180</v>
      </c>
      <c r="C10" s="163"/>
      <c r="D10" s="60"/>
    </row>
    <row r="11" spans="2:4" ht="13.5" thickBot="1" x14ac:dyDescent="0.25">
      <c r="B11" s="161" t="s">
        <v>181</v>
      </c>
      <c r="C11" s="163"/>
      <c r="D11" s="60"/>
    </row>
    <row r="12" spans="2:4" ht="13.5" thickBot="1" x14ac:dyDescent="0.25">
      <c r="B12" s="161" t="s">
        <v>182</v>
      </c>
      <c r="C12" s="163"/>
      <c r="D12" s="61">
        <f>SUM(D10:D11)</f>
        <v>0</v>
      </c>
    </row>
    <row r="13" spans="2:4" ht="13.5" thickBot="1" x14ac:dyDescent="0.25">
      <c r="B13" s="175" t="s">
        <v>101</v>
      </c>
      <c r="C13" s="176"/>
      <c r="D13" s="177"/>
    </row>
    <row r="14" spans="2:4" ht="13.5" thickBot="1" x14ac:dyDescent="0.25">
      <c r="B14" s="161" t="s">
        <v>183</v>
      </c>
      <c r="C14" s="163"/>
      <c r="D14" s="60"/>
    </row>
    <row r="15" spans="2:4" ht="13.5" thickBot="1" x14ac:dyDescent="0.25">
      <c r="B15" s="161" t="s">
        <v>184</v>
      </c>
      <c r="C15" s="163"/>
      <c r="D15" s="60"/>
    </row>
    <row r="16" spans="2:4" ht="13.5" thickBot="1" x14ac:dyDescent="0.25">
      <c r="B16" s="161" t="s">
        <v>185</v>
      </c>
      <c r="C16" s="163"/>
      <c r="D16" s="61">
        <f>SUM(D14:D15)</f>
        <v>0</v>
      </c>
    </row>
    <row r="17" spans="2:4" ht="13.5" thickBot="1" x14ac:dyDescent="0.25">
      <c r="B17" s="148" t="s">
        <v>186</v>
      </c>
      <c r="C17" s="149"/>
      <c r="D17" s="150"/>
    </row>
    <row r="18" spans="2:4" ht="13.5" thickBot="1" x14ac:dyDescent="0.25">
      <c r="B18" s="44" t="s">
        <v>187</v>
      </c>
      <c r="C18" s="47"/>
      <c r="D18" s="46">
        <f>IF(ISBLANK(C8),0,IF(OR(C18="NO",ISBLANK(C18)),0,(VLOOKUP(C8,'Formula Data'!C40:F50,4,FALSE))))</f>
        <v>0</v>
      </c>
    </row>
    <row r="19" spans="2:4" x14ac:dyDescent="0.2">
      <c r="B19" s="168" t="s">
        <v>277</v>
      </c>
      <c r="C19" s="168"/>
      <c r="D19" s="168"/>
    </row>
    <row r="20" spans="2:4" x14ac:dyDescent="0.2">
      <c r="B20" s="169"/>
      <c r="C20" s="169"/>
      <c r="D20" s="169"/>
    </row>
  </sheetData>
  <dataConsolidate/>
  <mergeCells count="14">
    <mergeCell ref="B19:D20"/>
    <mergeCell ref="B17:D17"/>
    <mergeCell ref="C8:D8"/>
    <mergeCell ref="B5:D5"/>
    <mergeCell ref="B4:D4"/>
    <mergeCell ref="B9:D9"/>
    <mergeCell ref="B13:D13"/>
    <mergeCell ref="B10:C10"/>
    <mergeCell ref="B11:C11"/>
    <mergeCell ref="B12:C12"/>
    <mergeCell ref="B14:C14"/>
    <mergeCell ref="B15:C15"/>
    <mergeCell ref="B16:C16"/>
    <mergeCell ref="B7:C7"/>
  </mergeCells>
  <dataValidations count="1">
    <dataValidation type="list" allowBlank="1" showInputMessage="1" showErrorMessage="1" sqref="C18" xr:uid="{00000000-0002-0000-0700-000000000000}">
      <formula1>"YES,NO"</formula1>
    </dataValidation>
  </dataValidations>
  <pageMargins left="0.75" right="0.75" top="1" bottom="1" header="0.5" footer="0.5"/>
  <pageSetup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1000000}">
          <x14:formula1>
            <xm:f>'Formula Data'!$C$40:$C$50</xm:f>
          </x14:formula1>
          <xm:sqref>C8:D8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C4:L49"/>
  <sheetViews>
    <sheetView workbookViewId="0">
      <selection sqref="A1:Q44"/>
    </sheetView>
  </sheetViews>
  <sheetFormatPr defaultRowHeight="12.75" x14ac:dyDescent="0.2"/>
  <cols>
    <col min="3" max="3" width="59" customWidth="1"/>
    <col min="4" max="4" width="67.140625" customWidth="1"/>
    <col min="5" max="5" width="54.85546875" customWidth="1"/>
    <col min="6" max="6" width="58.85546875" customWidth="1"/>
    <col min="7" max="7" width="61.7109375" customWidth="1"/>
    <col min="8" max="8" width="44.42578125" customWidth="1"/>
    <col min="9" max="9" width="46.85546875" customWidth="1"/>
    <col min="10" max="10" width="28.85546875" customWidth="1"/>
    <col min="11" max="11" width="64.7109375" customWidth="1"/>
    <col min="12" max="12" width="67.140625" customWidth="1"/>
  </cols>
  <sheetData>
    <row r="4" spans="3:12" x14ac:dyDescent="0.2">
      <c r="C4" s="5" t="s">
        <v>189</v>
      </c>
      <c r="D4" s="79" t="s">
        <v>190</v>
      </c>
      <c r="E4" s="79"/>
      <c r="F4" s="79"/>
      <c r="G4" s="79"/>
      <c r="H4" s="79"/>
      <c r="I4" s="79"/>
      <c r="J4" s="79"/>
      <c r="K4" s="79"/>
      <c r="L4" s="79"/>
    </row>
    <row r="5" spans="3:12" ht="15.75" x14ac:dyDescent="0.25">
      <c r="C5" s="6"/>
      <c r="D5" s="11" t="s">
        <v>191</v>
      </c>
      <c r="E5" s="11" t="s">
        <v>192</v>
      </c>
      <c r="F5" s="11" t="s">
        <v>193</v>
      </c>
      <c r="G5" s="11" t="s">
        <v>194</v>
      </c>
      <c r="H5" s="11" t="s">
        <v>195</v>
      </c>
      <c r="I5" s="11" t="s">
        <v>196</v>
      </c>
      <c r="J5" s="11" t="s">
        <v>197</v>
      </c>
      <c r="K5" s="11" t="s">
        <v>198</v>
      </c>
      <c r="L5" s="11" t="s">
        <v>199</v>
      </c>
    </row>
    <row r="6" spans="3:12" x14ac:dyDescent="0.2">
      <c r="C6" s="4" t="s">
        <v>200</v>
      </c>
      <c r="D6" s="7">
        <v>204.81</v>
      </c>
      <c r="E6" s="7">
        <v>197.86</v>
      </c>
      <c r="F6" s="7">
        <v>192.77</v>
      </c>
      <c r="G6" s="7">
        <v>184.35</v>
      </c>
      <c r="H6" s="7">
        <v>172.91</v>
      </c>
      <c r="I6" s="7">
        <v>168.11</v>
      </c>
      <c r="J6" s="7">
        <v>177.81</v>
      </c>
      <c r="K6" s="7">
        <v>158.1</v>
      </c>
      <c r="L6" s="7">
        <v>151.38999999999999</v>
      </c>
    </row>
    <row r="7" spans="3:12" x14ac:dyDescent="0.2">
      <c r="C7" s="4" t="s">
        <v>201</v>
      </c>
      <c r="D7" s="7">
        <v>187.37</v>
      </c>
      <c r="E7" s="7">
        <v>180.42</v>
      </c>
      <c r="F7" s="7">
        <v>175.33</v>
      </c>
      <c r="G7" s="7">
        <v>166.91</v>
      </c>
      <c r="H7" s="7">
        <v>155.51</v>
      </c>
      <c r="I7" s="7">
        <v>150.71</v>
      </c>
      <c r="J7" s="7">
        <v>160.37</v>
      </c>
      <c r="K7" s="7">
        <v>140.69999999999999</v>
      </c>
      <c r="L7" s="7">
        <v>133.99</v>
      </c>
    </row>
    <row r="8" spans="3:12" x14ac:dyDescent="0.2">
      <c r="C8" s="4" t="s">
        <v>202</v>
      </c>
      <c r="D8" s="7">
        <v>155.74</v>
      </c>
      <c r="E8" s="7">
        <v>151.36000000000001</v>
      </c>
      <c r="F8" s="7">
        <v>147.5</v>
      </c>
      <c r="G8" s="7">
        <v>141.9</v>
      </c>
      <c r="H8" s="7">
        <v>133.46</v>
      </c>
      <c r="I8" s="7">
        <v>129.72999999999999</v>
      </c>
      <c r="J8" s="7">
        <v>136.94</v>
      </c>
      <c r="K8" s="7">
        <v>121.02</v>
      </c>
      <c r="L8" s="7">
        <v>116.96</v>
      </c>
    </row>
    <row r="9" spans="3:12" x14ac:dyDescent="0.2">
      <c r="C9" s="4" t="s">
        <v>203</v>
      </c>
      <c r="D9" s="7">
        <v>154.74</v>
      </c>
      <c r="E9" s="7">
        <v>150.36000000000001</v>
      </c>
      <c r="F9" s="7">
        <v>145.5</v>
      </c>
      <c r="G9" s="7">
        <v>140.9</v>
      </c>
      <c r="H9" s="7">
        <v>131.46</v>
      </c>
      <c r="I9" s="7">
        <v>128.72999999999999</v>
      </c>
      <c r="J9" s="7">
        <v>135.94</v>
      </c>
      <c r="K9" s="7">
        <v>119.02</v>
      </c>
      <c r="L9" s="7">
        <v>115.96</v>
      </c>
    </row>
    <row r="10" spans="3:12" x14ac:dyDescent="0.2">
      <c r="C10" s="4" t="s">
        <v>204</v>
      </c>
      <c r="D10" s="7">
        <v>189.22</v>
      </c>
      <c r="E10" s="7">
        <v>182.27</v>
      </c>
      <c r="F10" s="7">
        <v>177.18</v>
      </c>
      <c r="G10" s="7">
        <v>168.76</v>
      </c>
      <c r="H10" s="7">
        <v>157.33000000000001</v>
      </c>
      <c r="I10" s="7">
        <v>152.53</v>
      </c>
      <c r="J10" s="7">
        <v>162.22</v>
      </c>
      <c r="K10" s="7">
        <v>142.51</v>
      </c>
      <c r="L10" s="7">
        <v>135.80000000000001</v>
      </c>
    </row>
    <row r="11" spans="3:12" x14ac:dyDescent="0.2">
      <c r="C11" s="4" t="s">
        <v>205</v>
      </c>
      <c r="D11" s="7">
        <v>158.87</v>
      </c>
      <c r="E11" s="7">
        <v>151.91999999999999</v>
      </c>
      <c r="F11" s="7">
        <v>145.83000000000001</v>
      </c>
      <c r="G11" s="7">
        <v>138.41</v>
      </c>
      <c r="H11" s="7">
        <v>125.97</v>
      </c>
      <c r="I11" s="7">
        <v>122.17</v>
      </c>
      <c r="J11" s="7">
        <v>131.88</v>
      </c>
      <c r="K11" s="7">
        <v>111.16</v>
      </c>
      <c r="L11" s="7">
        <v>105.45</v>
      </c>
    </row>
    <row r="12" spans="3:12" x14ac:dyDescent="0.2">
      <c r="C12" s="4" t="s">
        <v>206</v>
      </c>
      <c r="D12" s="7">
        <v>186.37</v>
      </c>
      <c r="E12" s="7">
        <v>179.42</v>
      </c>
      <c r="F12" s="7">
        <v>173.33</v>
      </c>
      <c r="G12" s="7">
        <v>165.91</v>
      </c>
      <c r="H12" s="7">
        <v>153.51</v>
      </c>
      <c r="I12" s="7">
        <v>149.71</v>
      </c>
      <c r="J12" s="7">
        <v>159.37</v>
      </c>
      <c r="K12" s="7">
        <v>138.69999999999999</v>
      </c>
      <c r="L12" s="7">
        <v>132.99</v>
      </c>
    </row>
    <row r="13" spans="3:12" x14ac:dyDescent="0.2">
      <c r="C13" s="4" t="s">
        <v>207</v>
      </c>
      <c r="D13" s="7">
        <v>158.4</v>
      </c>
      <c r="E13" s="7">
        <v>152.65</v>
      </c>
      <c r="F13" s="7">
        <v>147.57</v>
      </c>
      <c r="G13" s="7">
        <v>140.34</v>
      </c>
      <c r="H13" s="7">
        <v>127.3</v>
      </c>
      <c r="I13" s="7">
        <v>122.71</v>
      </c>
      <c r="J13" s="7">
        <v>134.52000000000001</v>
      </c>
      <c r="K13" s="7">
        <v>111.91</v>
      </c>
      <c r="L13" s="7">
        <v>106.66</v>
      </c>
    </row>
    <row r="14" spans="3:12" x14ac:dyDescent="0.2">
      <c r="C14" s="4" t="s">
        <v>208</v>
      </c>
      <c r="D14" s="7">
        <v>171.53</v>
      </c>
      <c r="E14" s="7">
        <v>165.59</v>
      </c>
      <c r="F14" s="7">
        <v>160.55000000000001</v>
      </c>
      <c r="G14" s="7">
        <v>153.19999999999999</v>
      </c>
      <c r="H14" s="7">
        <v>141.88</v>
      </c>
      <c r="I14" s="7">
        <v>134.72</v>
      </c>
      <c r="J14" s="7">
        <v>147.91999999999999</v>
      </c>
      <c r="K14" s="7">
        <v>123.99</v>
      </c>
      <c r="L14" s="7">
        <v>119.32</v>
      </c>
    </row>
    <row r="15" spans="3:12" x14ac:dyDescent="0.2">
      <c r="C15" s="4" t="s">
        <v>209</v>
      </c>
      <c r="D15" s="7">
        <v>93.92</v>
      </c>
      <c r="E15" s="7">
        <v>89.61</v>
      </c>
      <c r="F15" s="7">
        <v>84.47</v>
      </c>
      <c r="G15" s="7">
        <v>81.69</v>
      </c>
      <c r="H15" s="7">
        <v>73.14</v>
      </c>
      <c r="I15" s="7">
        <v>69.92</v>
      </c>
      <c r="J15" s="7">
        <v>78.41</v>
      </c>
      <c r="K15" s="7">
        <v>60.23</v>
      </c>
      <c r="L15" s="7">
        <v>56.97</v>
      </c>
    </row>
    <row r="16" spans="3:12" x14ac:dyDescent="0.2">
      <c r="C16" s="4" t="s">
        <v>210</v>
      </c>
      <c r="D16" s="7">
        <v>92.92</v>
      </c>
      <c r="E16" s="7">
        <v>88.61</v>
      </c>
      <c r="F16" s="7">
        <v>84.47</v>
      </c>
      <c r="G16" s="7">
        <v>80.69</v>
      </c>
      <c r="H16" s="7">
        <v>73.14</v>
      </c>
      <c r="I16" s="7">
        <v>68.92</v>
      </c>
      <c r="J16" s="7">
        <v>77.41</v>
      </c>
      <c r="K16" s="7">
        <v>60.23</v>
      </c>
      <c r="L16" s="7">
        <v>55.97</v>
      </c>
    </row>
    <row r="17" spans="3:12" x14ac:dyDescent="0.2">
      <c r="C17" s="4" t="s">
        <v>211</v>
      </c>
      <c r="D17" s="7">
        <v>88.02</v>
      </c>
      <c r="E17" s="7">
        <v>83.71</v>
      </c>
      <c r="F17" s="7">
        <v>79.569999999999993</v>
      </c>
      <c r="G17" s="7">
        <v>75.790000000000006</v>
      </c>
      <c r="H17" s="7">
        <v>68.42</v>
      </c>
      <c r="I17" s="7">
        <v>64.2</v>
      </c>
      <c r="J17" s="7">
        <v>72.510000000000005</v>
      </c>
      <c r="K17" s="7">
        <v>55.51</v>
      </c>
      <c r="L17" s="7" t="s">
        <v>212</v>
      </c>
    </row>
    <row r="18" spans="3:12" x14ac:dyDescent="0.2">
      <c r="C18" s="4" t="s">
        <v>213</v>
      </c>
      <c r="D18" s="7">
        <v>88.02</v>
      </c>
      <c r="E18" s="7">
        <v>83.71</v>
      </c>
      <c r="F18" s="7">
        <v>79.569999999999993</v>
      </c>
      <c r="G18" s="7">
        <v>75.790000000000006</v>
      </c>
      <c r="H18" s="7">
        <v>68.42</v>
      </c>
      <c r="I18" s="7">
        <v>64.2</v>
      </c>
      <c r="J18" s="7">
        <v>72.510000000000005</v>
      </c>
      <c r="K18" s="7">
        <v>55.51</v>
      </c>
      <c r="L18" s="7">
        <v>51.25</v>
      </c>
    </row>
    <row r="19" spans="3:12" x14ac:dyDescent="0.2">
      <c r="C19" s="4" t="s">
        <v>214</v>
      </c>
      <c r="D19" s="7">
        <v>158.4</v>
      </c>
      <c r="E19" s="7">
        <v>152.65</v>
      </c>
      <c r="F19" s="7">
        <v>147.57</v>
      </c>
      <c r="G19" s="7">
        <v>140.34</v>
      </c>
      <c r="H19" s="7">
        <v>127.3</v>
      </c>
      <c r="I19" s="7">
        <v>122.71</v>
      </c>
      <c r="J19" s="7">
        <v>134.52000000000001</v>
      </c>
      <c r="K19" s="7">
        <v>111.91</v>
      </c>
      <c r="L19" s="7">
        <v>106.66</v>
      </c>
    </row>
    <row r="20" spans="3:12" x14ac:dyDescent="0.2">
      <c r="C20" s="4" t="s">
        <v>215</v>
      </c>
      <c r="D20" s="7">
        <v>159.09</v>
      </c>
      <c r="E20" s="7">
        <v>153.5</v>
      </c>
      <c r="F20" s="7">
        <v>148.94999999999999</v>
      </c>
      <c r="G20" s="7">
        <v>142.51</v>
      </c>
      <c r="H20" s="7">
        <v>130.74</v>
      </c>
      <c r="I20" s="7">
        <v>127.3</v>
      </c>
      <c r="J20" s="7">
        <v>138.80000000000001</v>
      </c>
      <c r="K20" s="7">
        <v>117.44</v>
      </c>
      <c r="L20" s="7">
        <v>112.84</v>
      </c>
    </row>
    <row r="21" spans="3:12" x14ac:dyDescent="0.2">
      <c r="C21" s="4" t="s">
        <v>216</v>
      </c>
      <c r="D21" s="7">
        <v>266.39</v>
      </c>
      <c r="E21" s="7">
        <v>260.64</v>
      </c>
      <c r="F21" s="7">
        <v>255.56</v>
      </c>
      <c r="G21" s="7">
        <v>248.33</v>
      </c>
      <c r="H21" s="7">
        <v>234.5</v>
      </c>
      <c r="I21" s="7" t="s">
        <v>212</v>
      </c>
      <c r="J21" s="7">
        <v>242.51</v>
      </c>
      <c r="K21" s="7">
        <v>219.11</v>
      </c>
      <c r="L21" s="7" t="s">
        <v>212</v>
      </c>
    </row>
    <row r="22" spans="3:12" x14ac:dyDescent="0.2">
      <c r="C22" s="4" t="s">
        <v>217</v>
      </c>
      <c r="D22" s="7">
        <v>185.59</v>
      </c>
      <c r="E22" s="7">
        <v>179.83</v>
      </c>
      <c r="F22" s="7">
        <v>174.76</v>
      </c>
      <c r="G22" s="7">
        <v>167.53</v>
      </c>
      <c r="H22" s="7">
        <v>154.81</v>
      </c>
      <c r="I22" s="7" t="s">
        <v>212</v>
      </c>
      <c r="J22" s="7">
        <v>161.71</v>
      </c>
      <c r="K22" s="7">
        <v>139.41</v>
      </c>
      <c r="L22" s="7" t="s">
        <v>212</v>
      </c>
    </row>
    <row r="23" spans="3:12" x14ac:dyDescent="0.2">
      <c r="C23" s="4" t="s">
        <v>218</v>
      </c>
      <c r="D23" s="7">
        <v>180.47</v>
      </c>
      <c r="E23" s="7">
        <v>174.72</v>
      </c>
      <c r="F23" s="7">
        <v>169.64</v>
      </c>
      <c r="G23" s="7">
        <v>162.41</v>
      </c>
      <c r="H23" s="7">
        <v>150.6</v>
      </c>
      <c r="I23" s="7">
        <v>145.01</v>
      </c>
      <c r="J23" s="7">
        <v>156.59</v>
      </c>
      <c r="K23" s="7">
        <v>135.19999999999999</v>
      </c>
      <c r="L23" s="7">
        <v>127.96</v>
      </c>
    </row>
    <row r="24" spans="3:12" x14ac:dyDescent="0.2">
      <c r="C24" s="4" t="s">
        <v>219</v>
      </c>
      <c r="D24" s="7">
        <v>159.09</v>
      </c>
      <c r="E24" s="7">
        <v>153.5</v>
      </c>
      <c r="F24" s="7">
        <v>148.94999999999999</v>
      </c>
      <c r="G24" s="7">
        <v>142.51</v>
      </c>
      <c r="H24" s="7">
        <v>130.74</v>
      </c>
      <c r="I24" s="7">
        <v>127.3</v>
      </c>
      <c r="J24" s="7">
        <v>138.80000000000001</v>
      </c>
      <c r="K24" s="7">
        <v>117.44</v>
      </c>
      <c r="L24" s="7">
        <v>112.84</v>
      </c>
    </row>
    <row r="25" spans="3:12" x14ac:dyDescent="0.2">
      <c r="C25" s="4" t="s">
        <v>220</v>
      </c>
      <c r="D25" s="7">
        <v>115.8</v>
      </c>
      <c r="E25" s="7">
        <v>111.42</v>
      </c>
      <c r="F25" s="7">
        <v>106.56</v>
      </c>
      <c r="G25" s="7">
        <v>101.96</v>
      </c>
      <c r="H25" s="7">
        <v>93.15</v>
      </c>
      <c r="I25" s="7">
        <v>90.42</v>
      </c>
      <c r="J25" s="7">
        <v>97</v>
      </c>
      <c r="K25" s="7">
        <v>80.709999999999994</v>
      </c>
      <c r="L25" s="7">
        <v>77.650000000000006</v>
      </c>
    </row>
    <row r="26" spans="3:12" x14ac:dyDescent="0.2">
      <c r="C26" s="4" t="s">
        <v>221</v>
      </c>
      <c r="D26" s="7">
        <v>160.44</v>
      </c>
      <c r="E26" s="7">
        <v>154.84</v>
      </c>
      <c r="F26" s="7">
        <v>150.29</v>
      </c>
      <c r="G26" s="7">
        <v>143.85</v>
      </c>
      <c r="H26" s="7">
        <v>132.24</v>
      </c>
      <c r="I26" s="7">
        <v>128.80000000000001</v>
      </c>
      <c r="J26" s="7">
        <v>140.31</v>
      </c>
      <c r="K26" s="7">
        <v>118.95</v>
      </c>
      <c r="L26" s="7">
        <v>114.35</v>
      </c>
    </row>
    <row r="27" spans="3:12" x14ac:dyDescent="0.2">
      <c r="C27" s="4" t="s">
        <v>222</v>
      </c>
      <c r="D27" s="7">
        <v>134.26</v>
      </c>
      <c r="E27" s="7">
        <v>128.66</v>
      </c>
      <c r="F27" s="7">
        <v>124.11</v>
      </c>
      <c r="G27" s="7">
        <v>117.67</v>
      </c>
      <c r="H27" s="7">
        <v>106.72</v>
      </c>
      <c r="I27" s="7">
        <v>103.28</v>
      </c>
      <c r="J27" s="7">
        <v>114.78</v>
      </c>
      <c r="K27" s="7">
        <v>93.42</v>
      </c>
      <c r="L27" s="7">
        <v>88.82</v>
      </c>
    </row>
    <row r="28" spans="3:12" x14ac:dyDescent="0.2">
      <c r="C28" s="4" t="s">
        <v>223</v>
      </c>
      <c r="D28" s="7">
        <v>124.88</v>
      </c>
      <c r="E28" s="7">
        <v>121.41</v>
      </c>
      <c r="F28" s="7">
        <v>118.43</v>
      </c>
      <c r="G28" s="7">
        <v>115.31</v>
      </c>
      <c r="H28" s="7">
        <v>111.07</v>
      </c>
      <c r="I28" s="7">
        <v>108.19</v>
      </c>
      <c r="J28" s="7">
        <v>113.4</v>
      </c>
      <c r="K28" s="7">
        <v>104.09</v>
      </c>
      <c r="L28" s="7">
        <v>97.95</v>
      </c>
    </row>
    <row r="29" spans="3:12" x14ac:dyDescent="0.2">
      <c r="C29" s="4" t="s">
        <v>224</v>
      </c>
      <c r="D29" s="7">
        <v>159.09</v>
      </c>
      <c r="E29" s="7">
        <v>153.5</v>
      </c>
      <c r="F29" s="7">
        <v>148.94999999999999</v>
      </c>
      <c r="G29" s="7">
        <v>142.51</v>
      </c>
      <c r="H29" s="7">
        <v>130.74</v>
      </c>
      <c r="I29" s="7">
        <v>127.3</v>
      </c>
      <c r="J29" s="7">
        <v>138.80000000000001</v>
      </c>
      <c r="K29" s="7">
        <v>117.44</v>
      </c>
      <c r="L29" s="7">
        <v>112.84</v>
      </c>
    </row>
    <row r="30" spans="3:12" x14ac:dyDescent="0.2">
      <c r="C30" s="4" t="s">
        <v>225</v>
      </c>
      <c r="D30" s="7">
        <v>87.02</v>
      </c>
      <c r="E30" s="7">
        <v>82.71</v>
      </c>
      <c r="F30" s="7">
        <v>77.569999999999993</v>
      </c>
      <c r="G30" s="7">
        <v>74.790000000000006</v>
      </c>
      <c r="H30" s="7">
        <v>66.42</v>
      </c>
      <c r="I30" s="7">
        <v>63.2</v>
      </c>
      <c r="J30" s="7">
        <v>71.510000000000005</v>
      </c>
      <c r="K30" s="7">
        <v>53.51</v>
      </c>
      <c r="L30" s="7">
        <v>50.25</v>
      </c>
    </row>
    <row r="31" spans="3:12" x14ac:dyDescent="0.2">
      <c r="C31" s="4" t="s">
        <v>226</v>
      </c>
      <c r="D31" s="7">
        <v>86.02</v>
      </c>
      <c r="E31" s="7">
        <v>81.709999999999994</v>
      </c>
      <c r="F31" s="7">
        <v>77.569999999999993</v>
      </c>
      <c r="G31" s="7">
        <v>73.790000000000006</v>
      </c>
      <c r="H31" s="7">
        <v>66.42</v>
      </c>
      <c r="I31" s="7">
        <v>62.2</v>
      </c>
      <c r="J31" s="7">
        <v>70.510000000000005</v>
      </c>
      <c r="K31" s="7">
        <v>53.51</v>
      </c>
      <c r="L31" s="7">
        <v>49.25</v>
      </c>
    </row>
    <row r="32" spans="3:12" x14ac:dyDescent="0.2">
      <c r="C32" s="4" t="s">
        <v>227</v>
      </c>
      <c r="D32" s="7">
        <v>68.13</v>
      </c>
      <c r="E32" s="7">
        <v>64.290000000000006</v>
      </c>
      <c r="F32" s="7">
        <v>60.15</v>
      </c>
      <c r="G32" s="7">
        <v>56.88</v>
      </c>
      <c r="H32" s="7">
        <v>50.7</v>
      </c>
      <c r="I32" s="7">
        <v>47.41</v>
      </c>
      <c r="J32" s="7">
        <v>54.03</v>
      </c>
      <c r="K32" s="7">
        <v>39.33</v>
      </c>
      <c r="L32" s="7">
        <v>37.47</v>
      </c>
    </row>
    <row r="33" spans="3:12" x14ac:dyDescent="0.2">
      <c r="C33" s="4" t="s">
        <v>228</v>
      </c>
      <c r="D33" s="8">
        <v>34.07</v>
      </c>
      <c r="E33" s="8">
        <v>32.15</v>
      </c>
      <c r="F33" s="8">
        <v>30.08</v>
      </c>
      <c r="G33" s="8">
        <f>G32*0.5</f>
        <v>28.44</v>
      </c>
      <c r="H33" s="8">
        <f>H32*0.5</f>
        <v>25.35</v>
      </c>
      <c r="I33" s="8">
        <v>23.71</v>
      </c>
      <c r="J33" s="8">
        <v>27.02</v>
      </c>
      <c r="K33" s="8">
        <v>19.670000000000002</v>
      </c>
      <c r="L33" s="8">
        <v>18.739999999999998</v>
      </c>
    </row>
    <row r="36" spans="3:12" x14ac:dyDescent="0.2">
      <c r="C36" s="12" t="s">
        <v>188</v>
      </c>
    </row>
    <row r="37" spans="3:12" x14ac:dyDescent="0.2">
      <c r="C37" s="12" t="s">
        <v>46</v>
      </c>
    </row>
    <row r="39" spans="3:12" x14ac:dyDescent="0.2">
      <c r="C39" s="10" t="s">
        <v>229</v>
      </c>
      <c r="D39" s="10" t="s">
        <v>230</v>
      </c>
      <c r="E39" s="4" t="s">
        <v>231</v>
      </c>
      <c r="F39" s="4" t="s">
        <v>232</v>
      </c>
    </row>
    <row r="40" spans="3:12" x14ac:dyDescent="0.2">
      <c r="C40" s="4" t="s">
        <v>233</v>
      </c>
      <c r="D40" s="4">
        <v>1.05</v>
      </c>
      <c r="E40" s="9">
        <v>0.53</v>
      </c>
      <c r="F40" s="9">
        <f>'CONST. EXCISE TAX'!D10*'Formula Dat'!D40+'CONST. EXCISE TAX'!D14*'Formula Dat'!E40</f>
        <v>0</v>
      </c>
    </row>
    <row r="41" spans="3:12" x14ac:dyDescent="0.2">
      <c r="C41" s="4" t="s">
        <v>234</v>
      </c>
      <c r="D41" s="4">
        <v>1.05</v>
      </c>
      <c r="E41" s="9">
        <v>0.53</v>
      </c>
      <c r="F41" s="9">
        <f>'CONST. EXCISE TAX'!D10*'Formula Dat'!D41+'CONST. EXCISE TAX'!D14*'Formula Dat'!E41</f>
        <v>0</v>
      </c>
    </row>
    <row r="42" spans="3:12" x14ac:dyDescent="0.2">
      <c r="C42" s="4" t="s">
        <v>235</v>
      </c>
      <c r="D42" s="4">
        <v>1.05</v>
      </c>
      <c r="E42" s="9">
        <v>0.53</v>
      </c>
      <c r="F42" s="9">
        <f>'CONST. EXCISE TAX'!D10*'Formula Dat'!D42+'CONST. EXCISE TAX'!D14*'Formula Dat'!E42</f>
        <v>0</v>
      </c>
    </row>
    <row r="43" spans="3:12" x14ac:dyDescent="0.2">
      <c r="C43" s="4" t="s">
        <v>236</v>
      </c>
      <c r="D43" s="4">
        <v>1.07</v>
      </c>
      <c r="E43" s="9">
        <v>0.54</v>
      </c>
      <c r="F43" s="9">
        <f>'CONST. EXCISE TAX'!D10*'Formula Dat'!D43+'CONST. EXCISE TAX'!D14*'Formula Dat'!E43</f>
        <v>0</v>
      </c>
    </row>
    <row r="44" spans="3:12" x14ac:dyDescent="0.2">
      <c r="C44" s="4" t="s">
        <v>237</v>
      </c>
      <c r="D44" s="4">
        <v>1.05</v>
      </c>
      <c r="E44" s="9">
        <v>0.53</v>
      </c>
      <c r="F44" s="9">
        <f>'CONST. EXCISE TAX'!D10*'Formula Dat'!D44+'CONST. EXCISE TAX'!D14*'Formula Dat'!E44</f>
        <v>0</v>
      </c>
    </row>
    <row r="45" spans="3:12" x14ac:dyDescent="0.2">
      <c r="C45" s="4" t="s">
        <v>238</v>
      </c>
      <c r="D45" s="4">
        <v>1.05</v>
      </c>
      <c r="E45" s="9">
        <v>0.53</v>
      </c>
      <c r="F45" s="9">
        <f>'CONST. EXCISE TAX'!D10*'Formula Dat'!D45+'CONST. EXCISE TAX'!D14*'Formula Dat'!E45</f>
        <v>0</v>
      </c>
    </row>
    <row r="46" spans="3:12" x14ac:dyDescent="0.2">
      <c r="C46" s="4" t="s">
        <v>239</v>
      </c>
      <c r="D46" s="4">
        <v>1.05</v>
      </c>
      <c r="E46" s="9">
        <v>0.53</v>
      </c>
      <c r="F46" s="9">
        <f>'CONST. EXCISE TAX'!D10*'Formula Dat'!D46+'CONST. EXCISE TAX'!D14*'Formula Dat'!E46</f>
        <v>0</v>
      </c>
    </row>
    <row r="47" spans="3:12" x14ac:dyDescent="0.2">
      <c r="C47" s="4" t="s">
        <v>240</v>
      </c>
      <c r="D47" s="4">
        <v>1</v>
      </c>
      <c r="E47" s="9">
        <v>0.5</v>
      </c>
      <c r="F47" s="9">
        <f>'CONST. EXCISE TAX'!D10*'Formula Dat'!D47+'CONST. EXCISE TAX'!D14*'Formula Dat'!E47</f>
        <v>0</v>
      </c>
    </row>
    <row r="48" spans="3:12" x14ac:dyDescent="0.2">
      <c r="C48" s="4" t="s">
        <v>241</v>
      </c>
      <c r="D48" s="4">
        <v>1.07</v>
      </c>
      <c r="E48" s="9">
        <v>0.54</v>
      </c>
      <c r="F48" s="9">
        <f>'CONST. EXCISE TAX'!D10*'Formula Dat'!D48+'CONST. EXCISE TAX'!D14*'Formula Dat'!E48</f>
        <v>0</v>
      </c>
    </row>
    <row r="49" spans="3:6" x14ac:dyDescent="0.2">
      <c r="C49" s="12" t="s">
        <v>80</v>
      </c>
      <c r="D49" s="12">
        <v>0</v>
      </c>
      <c r="E49" s="9">
        <v>0</v>
      </c>
      <c r="F49" s="9">
        <f>'CONST. EXCISE TAX'!D10*'Formula Dat'!D49+'CONST. EXCISE TAX'!D14*'Formula Dat'!E49</f>
        <v>0</v>
      </c>
    </row>
  </sheetData>
  <sheetProtection password="EF7F" sheet="1" objects="1" scenarios="1"/>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C4:L50"/>
  <sheetViews>
    <sheetView topLeftCell="A3" zoomScaleNormal="100" workbookViewId="0">
      <selection activeCell="C5" sqref="C5"/>
    </sheetView>
  </sheetViews>
  <sheetFormatPr defaultRowHeight="12.75" x14ac:dyDescent="0.2"/>
  <cols>
    <col min="2" max="2" width="5.5703125" customWidth="1"/>
    <col min="3" max="3" width="53.7109375" bestFit="1" customWidth="1"/>
    <col min="4" max="4" width="23.42578125" customWidth="1"/>
    <col min="5" max="5" width="16.42578125" customWidth="1"/>
    <col min="6" max="6" width="16.28515625" customWidth="1"/>
    <col min="7" max="8" width="17.140625" customWidth="1"/>
    <col min="9" max="9" width="18.140625" customWidth="1"/>
    <col min="10" max="10" width="16.42578125" customWidth="1"/>
    <col min="11" max="11" width="22.42578125" customWidth="1"/>
    <col min="12" max="12" width="17.5703125" customWidth="1"/>
  </cols>
  <sheetData>
    <row r="4" spans="3:12" x14ac:dyDescent="0.2">
      <c r="C4" s="111" t="s">
        <v>189</v>
      </c>
      <c r="D4" s="178" t="s">
        <v>190</v>
      </c>
      <c r="E4" s="179"/>
      <c r="F4" s="179"/>
      <c r="G4" s="179"/>
      <c r="H4" s="179"/>
      <c r="I4" s="179"/>
      <c r="J4" s="179"/>
      <c r="K4" s="179"/>
      <c r="L4" s="180"/>
    </row>
    <row r="5" spans="3:12" s="66" customFormat="1" ht="63.75" customHeight="1" x14ac:dyDescent="0.2">
      <c r="C5" s="112"/>
      <c r="D5" s="113" t="s">
        <v>191</v>
      </c>
      <c r="E5" s="113" t="s">
        <v>192</v>
      </c>
      <c r="F5" s="113" t="s">
        <v>193</v>
      </c>
      <c r="G5" s="113" t="s">
        <v>194</v>
      </c>
      <c r="H5" s="113" t="s">
        <v>195</v>
      </c>
      <c r="I5" s="113" t="s">
        <v>242</v>
      </c>
      <c r="J5" s="113" t="s">
        <v>197</v>
      </c>
      <c r="K5" s="113" t="s">
        <v>198</v>
      </c>
      <c r="L5" s="113" t="s">
        <v>199</v>
      </c>
    </row>
    <row r="6" spans="3:12" x14ac:dyDescent="0.2">
      <c r="C6" s="122" t="s">
        <v>200</v>
      </c>
      <c r="D6" s="181">
        <v>337.40499999999997</v>
      </c>
      <c r="E6" s="181">
        <v>325.39999999999998</v>
      </c>
      <c r="F6" s="181">
        <v>315.79599999999999</v>
      </c>
      <c r="G6" s="181">
        <v>303.35000000000002</v>
      </c>
      <c r="H6" s="181">
        <v>283.45600000000002</v>
      </c>
      <c r="I6" s="181">
        <v>275.24360000000001</v>
      </c>
      <c r="J6" s="181">
        <v>292.98159999999996</v>
      </c>
      <c r="K6" s="181">
        <v>264.14019999999999</v>
      </c>
      <c r="L6" s="181">
        <v>254.03640000000001</v>
      </c>
    </row>
    <row r="7" spans="3:12" x14ac:dyDescent="0.2">
      <c r="C7" s="122" t="s">
        <v>201</v>
      </c>
      <c r="D7" s="181">
        <v>309.76900000000001</v>
      </c>
      <c r="E7" s="181">
        <v>297.76400000000001</v>
      </c>
      <c r="F7" s="181">
        <v>288.15999999999997</v>
      </c>
      <c r="G7" s="181">
        <v>275.714</v>
      </c>
      <c r="H7" s="181">
        <v>256.065</v>
      </c>
      <c r="I7" s="181">
        <v>247.8526</v>
      </c>
      <c r="J7" s="181">
        <v>265.34560000000005</v>
      </c>
      <c r="K7" s="181">
        <v>236.7492</v>
      </c>
      <c r="L7" s="181">
        <v>226.64540000000002</v>
      </c>
    </row>
    <row r="8" spans="3:12" x14ac:dyDescent="0.2">
      <c r="C8" s="122" t="s">
        <v>202</v>
      </c>
      <c r="D8" s="181">
        <v>269.41500000000002</v>
      </c>
      <c r="E8" s="181">
        <v>261.51499999999999</v>
      </c>
      <c r="F8" s="181">
        <v>253.30500000000004</v>
      </c>
      <c r="G8" s="181">
        <v>243.64500000000004</v>
      </c>
      <c r="H8" s="181">
        <v>228.20500000000001</v>
      </c>
      <c r="I8" s="181">
        <v>222.00499999999997</v>
      </c>
      <c r="J8" s="181">
        <v>235.28500000000003</v>
      </c>
      <c r="K8" s="181">
        <v>207.52499999999998</v>
      </c>
      <c r="L8" s="181">
        <v>199.655</v>
      </c>
    </row>
    <row r="9" spans="3:12" x14ac:dyDescent="0.2">
      <c r="C9" s="122" t="s">
        <v>203</v>
      </c>
      <c r="D9" s="181">
        <v>268.41500000000002</v>
      </c>
      <c r="E9" s="181">
        <v>260.51499999999999</v>
      </c>
      <c r="F9" s="181">
        <v>251.30500000000004</v>
      </c>
      <c r="G9" s="181">
        <v>242.64500000000004</v>
      </c>
      <c r="H9" s="181">
        <v>226.20500000000001</v>
      </c>
      <c r="I9" s="181">
        <v>221.00499999999997</v>
      </c>
      <c r="J9" s="181">
        <v>234.28500000000003</v>
      </c>
      <c r="K9" s="181">
        <v>205.52499999999998</v>
      </c>
      <c r="L9" s="181">
        <v>198.655</v>
      </c>
    </row>
    <row r="10" spans="3:12" x14ac:dyDescent="0.2">
      <c r="C10" s="122" t="s">
        <v>204</v>
      </c>
      <c r="D10" s="181">
        <v>314.404</v>
      </c>
      <c r="E10" s="181">
        <v>302.399</v>
      </c>
      <c r="F10" s="181">
        <v>292.79500000000002</v>
      </c>
      <c r="G10" s="181">
        <v>280.34899999999993</v>
      </c>
      <c r="H10" s="181">
        <v>260.82249999999999</v>
      </c>
      <c r="I10" s="181">
        <v>252.61009999999999</v>
      </c>
      <c r="J10" s="181">
        <v>269.98060000000004</v>
      </c>
      <c r="K10" s="181">
        <v>241.5067</v>
      </c>
      <c r="L10" s="181">
        <v>231.40289999999999</v>
      </c>
    </row>
    <row r="11" spans="3:12" x14ac:dyDescent="0.2">
      <c r="C11" s="122" t="s">
        <v>205</v>
      </c>
      <c r="D11" s="181">
        <v>264.03200000000004</v>
      </c>
      <c r="E11" s="181">
        <v>252.02699999999999</v>
      </c>
      <c r="F11" s="181">
        <v>241.423</v>
      </c>
      <c r="G11" s="181">
        <v>229.977</v>
      </c>
      <c r="H11" s="181">
        <v>209.328</v>
      </c>
      <c r="I11" s="181">
        <v>202.1156</v>
      </c>
      <c r="J11" s="181">
        <v>219.6086</v>
      </c>
      <c r="K11" s="181">
        <v>190.01220000000001</v>
      </c>
      <c r="L11" s="181">
        <v>180.90839999999997</v>
      </c>
    </row>
    <row r="12" spans="3:12" x14ac:dyDescent="0.2">
      <c r="C12" s="122" t="s">
        <v>206</v>
      </c>
      <c r="D12" s="181">
        <v>308.76900000000001</v>
      </c>
      <c r="E12" s="181">
        <v>296.76400000000001</v>
      </c>
      <c r="F12" s="181">
        <v>286.15999999999997</v>
      </c>
      <c r="G12" s="181">
        <v>274.714</v>
      </c>
      <c r="H12" s="181">
        <v>254.065</v>
      </c>
      <c r="I12" s="181">
        <v>246.8526</v>
      </c>
      <c r="J12" s="181">
        <v>264.34560000000005</v>
      </c>
      <c r="K12" s="181">
        <v>234.7492</v>
      </c>
      <c r="L12" s="181">
        <v>225.64540000000002</v>
      </c>
    </row>
    <row r="13" spans="3:12" x14ac:dyDescent="0.2">
      <c r="C13" s="122" t="s">
        <v>207</v>
      </c>
      <c r="D13" s="181">
        <v>298.42999999999995</v>
      </c>
      <c r="E13" s="181">
        <v>287.83</v>
      </c>
      <c r="F13" s="181">
        <v>277.5</v>
      </c>
      <c r="G13" s="181">
        <v>265.76</v>
      </c>
      <c r="H13" s="181">
        <v>242.7</v>
      </c>
      <c r="I13" s="181">
        <v>234.06</v>
      </c>
      <c r="J13" s="181">
        <v>255.54999999999998</v>
      </c>
      <c r="K13" s="181">
        <v>216.9</v>
      </c>
      <c r="L13" s="181">
        <v>206.95999999999998</v>
      </c>
    </row>
    <row r="14" spans="3:12" x14ac:dyDescent="0.2">
      <c r="C14" s="122" t="s">
        <v>208</v>
      </c>
      <c r="D14" s="181">
        <v>282.0591</v>
      </c>
      <c r="E14" s="181">
        <v>272.25909999999999</v>
      </c>
      <c r="F14" s="181">
        <v>263.65469999999999</v>
      </c>
      <c r="G14" s="181">
        <v>252.73749999999998</v>
      </c>
      <c r="H14" s="181">
        <v>235.8717</v>
      </c>
      <c r="I14" s="181">
        <v>223.81769999999997</v>
      </c>
      <c r="J14" s="181">
        <v>244.04489999999998</v>
      </c>
      <c r="K14" s="181">
        <v>206.6481</v>
      </c>
      <c r="L14" s="181">
        <v>200.02330000000001</v>
      </c>
    </row>
    <row r="15" spans="3:12" x14ac:dyDescent="0.2">
      <c r="C15" s="122" t="s">
        <v>209</v>
      </c>
      <c r="D15" s="181">
        <v>164.16883000000001</v>
      </c>
      <c r="E15" s="181">
        <v>156.24882999999997</v>
      </c>
      <c r="F15" s="181">
        <v>146.40813</v>
      </c>
      <c r="G15" s="181">
        <v>140.89393000000001</v>
      </c>
      <c r="H15" s="181">
        <v>125.44785</v>
      </c>
      <c r="I15" s="181">
        <v>119.35945000000001</v>
      </c>
      <c r="J15" s="181">
        <v>134.33023</v>
      </c>
      <c r="K15" s="181">
        <v>104.02424999999998</v>
      </c>
      <c r="L15" s="181">
        <v>96.866650000000007</v>
      </c>
    </row>
    <row r="16" spans="3:12" x14ac:dyDescent="0.2">
      <c r="C16" s="122" t="s">
        <v>210</v>
      </c>
      <c r="D16" s="181">
        <v>163.16883000000001</v>
      </c>
      <c r="E16" s="181">
        <v>155.24882999999997</v>
      </c>
      <c r="F16" s="181">
        <v>146.40813</v>
      </c>
      <c r="G16" s="181">
        <v>139.89393000000001</v>
      </c>
      <c r="H16" s="181">
        <v>125.44785</v>
      </c>
      <c r="I16" s="181">
        <v>118.35945000000001</v>
      </c>
      <c r="J16" s="181">
        <v>133.33023</v>
      </c>
      <c r="K16" s="181">
        <v>104.02424999999998</v>
      </c>
      <c r="L16" s="181">
        <v>95.866650000000007</v>
      </c>
    </row>
    <row r="17" spans="3:12" ht="25.5" customHeight="1" x14ac:dyDescent="0.2">
      <c r="C17" s="122" t="s">
        <v>211</v>
      </c>
      <c r="D17" s="181">
        <v>153.16606999999996</v>
      </c>
      <c r="E17" s="181">
        <v>145.24606999999997</v>
      </c>
      <c r="F17" s="181">
        <v>136.40536999999998</v>
      </c>
      <c r="G17" s="181">
        <v>129.89116999999999</v>
      </c>
      <c r="H17" s="181">
        <v>115.75595</v>
      </c>
      <c r="I17" s="181">
        <v>108.66755000000001</v>
      </c>
      <c r="J17" s="181">
        <v>123.32746999999999</v>
      </c>
      <c r="K17" s="181">
        <v>94.332349999999991</v>
      </c>
      <c r="L17" s="181">
        <v>0</v>
      </c>
    </row>
    <row r="18" spans="3:12" x14ac:dyDescent="0.2">
      <c r="C18" s="122" t="s">
        <v>244</v>
      </c>
      <c r="D18" s="181">
        <v>153.16606999999996</v>
      </c>
      <c r="E18" s="181">
        <v>145.24606999999997</v>
      </c>
      <c r="F18" s="181">
        <v>136.40536999999998</v>
      </c>
      <c r="G18" s="181">
        <v>129.89116999999999</v>
      </c>
      <c r="H18" s="181">
        <v>115.75595</v>
      </c>
      <c r="I18" s="181">
        <v>108.66755000000001</v>
      </c>
      <c r="J18" s="181">
        <v>123.32746999999999</v>
      </c>
      <c r="K18" s="181">
        <v>94.332349999999991</v>
      </c>
      <c r="L18" s="181">
        <v>86.174750000000003</v>
      </c>
    </row>
    <row r="19" spans="3:12" x14ac:dyDescent="0.2">
      <c r="C19" s="122" t="s">
        <v>214</v>
      </c>
      <c r="D19" s="181">
        <v>298.42999999999995</v>
      </c>
      <c r="E19" s="181">
        <v>287.83</v>
      </c>
      <c r="F19" s="181">
        <v>277.5</v>
      </c>
      <c r="G19" s="181">
        <v>265.76</v>
      </c>
      <c r="H19" s="181">
        <v>242.7</v>
      </c>
      <c r="I19" s="181">
        <v>234.06</v>
      </c>
      <c r="J19" s="181">
        <v>255.54999999999998</v>
      </c>
      <c r="K19" s="181">
        <v>216.9</v>
      </c>
      <c r="L19" s="181">
        <v>206.95999999999998</v>
      </c>
    </row>
    <row r="20" spans="3:12" x14ac:dyDescent="0.2">
      <c r="C20" s="122" t="s">
        <v>215</v>
      </c>
      <c r="D20" s="181">
        <v>274.97764999999998</v>
      </c>
      <c r="E20" s="181">
        <v>265.12714999999997</v>
      </c>
      <c r="F20" s="181">
        <v>255.66274999999996</v>
      </c>
      <c r="G20" s="181">
        <v>246.00035</v>
      </c>
      <c r="H20" s="181">
        <v>225.17074999999997</v>
      </c>
      <c r="I20" s="181">
        <v>219.12184999999997</v>
      </c>
      <c r="J20" s="181">
        <v>245.48554999999999</v>
      </c>
      <c r="K20" s="181">
        <v>202.79674999999997</v>
      </c>
      <c r="L20" s="181">
        <v>195.55984999999998</v>
      </c>
    </row>
    <row r="21" spans="3:12" ht="25.5" customHeight="1" x14ac:dyDescent="0.2">
      <c r="C21" s="122" t="s">
        <v>216</v>
      </c>
      <c r="D21" s="181">
        <v>469.17999999999995</v>
      </c>
      <c r="E21" s="181">
        <v>458.58</v>
      </c>
      <c r="F21" s="181">
        <v>448.25</v>
      </c>
      <c r="G21" s="181">
        <v>436.51</v>
      </c>
      <c r="H21" s="181">
        <v>411.45</v>
      </c>
      <c r="I21" s="181">
        <v>0</v>
      </c>
      <c r="J21" s="181">
        <v>426.29999999999995</v>
      </c>
      <c r="K21" s="181">
        <v>385.65000000000003</v>
      </c>
      <c r="L21" s="181">
        <v>0</v>
      </c>
    </row>
    <row r="22" spans="3:12" ht="25.5" customHeight="1" x14ac:dyDescent="0.2">
      <c r="C22" s="122" t="s">
        <v>217</v>
      </c>
      <c r="D22" s="181">
        <v>323.67999999999995</v>
      </c>
      <c r="E22" s="181">
        <v>313.08</v>
      </c>
      <c r="F22" s="181">
        <v>302.75</v>
      </c>
      <c r="G22" s="181">
        <v>291.01</v>
      </c>
      <c r="H22" s="181">
        <v>269.45</v>
      </c>
      <c r="I22" s="181">
        <v>0</v>
      </c>
      <c r="J22" s="181">
        <v>280.8</v>
      </c>
      <c r="K22" s="181">
        <v>243.65</v>
      </c>
      <c r="L22" s="181">
        <v>0</v>
      </c>
    </row>
    <row r="23" spans="3:12" x14ac:dyDescent="0.2">
      <c r="C23" s="122" t="s">
        <v>218</v>
      </c>
      <c r="D23" s="181">
        <v>314.92999999999995</v>
      </c>
      <c r="E23" s="181">
        <v>304.33</v>
      </c>
      <c r="F23" s="181">
        <v>294</v>
      </c>
      <c r="G23" s="181">
        <v>282.26</v>
      </c>
      <c r="H23" s="181">
        <v>261.7</v>
      </c>
      <c r="I23" s="181">
        <v>252.06</v>
      </c>
      <c r="J23" s="181">
        <v>272.05</v>
      </c>
      <c r="K23" s="181">
        <v>255.55</v>
      </c>
      <c r="L23" s="181">
        <v>223.95999999999998</v>
      </c>
    </row>
    <row r="24" spans="3:12" x14ac:dyDescent="0.2">
      <c r="C24" s="122" t="s">
        <v>219</v>
      </c>
      <c r="D24" s="181">
        <v>274.97764999999998</v>
      </c>
      <c r="E24" s="181">
        <v>265.12714999999997</v>
      </c>
      <c r="F24" s="181">
        <v>255.66274999999996</v>
      </c>
      <c r="G24" s="181">
        <v>246.00035</v>
      </c>
      <c r="H24" s="181">
        <v>225.17074999999997</v>
      </c>
      <c r="I24" s="181">
        <v>219.12184999999997</v>
      </c>
      <c r="J24" s="181">
        <v>245.48554999999999</v>
      </c>
      <c r="K24" s="181">
        <v>202.79674999999997</v>
      </c>
      <c r="L24" s="181">
        <v>195.55984999999998</v>
      </c>
    </row>
    <row r="25" spans="3:12" x14ac:dyDescent="0.2">
      <c r="C25" s="122" t="s">
        <v>220</v>
      </c>
      <c r="D25" s="181">
        <v>201.07499999999999</v>
      </c>
      <c r="E25" s="181">
        <v>193.17500000000001</v>
      </c>
      <c r="F25" s="181">
        <v>183.96500000000003</v>
      </c>
      <c r="G25" s="181">
        <v>175.30500000000001</v>
      </c>
      <c r="H25" s="181">
        <v>159.51500000000001</v>
      </c>
      <c r="I25" s="181">
        <v>154.31499999999997</v>
      </c>
      <c r="J25" s="181">
        <v>166.94500000000002</v>
      </c>
      <c r="K25" s="181">
        <v>138.83499999999998</v>
      </c>
      <c r="L25" s="181">
        <v>131.96499999999997</v>
      </c>
    </row>
    <row r="26" spans="3:12" x14ac:dyDescent="0.2">
      <c r="C26" s="122" t="s">
        <v>221</v>
      </c>
      <c r="D26" s="181">
        <v>278.13565</v>
      </c>
      <c r="E26" s="181">
        <v>268.28514999999993</v>
      </c>
      <c r="F26" s="181">
        <v>258.82075000000003</v>
      </c>
      <c r="G26" s="181">
        <v>249.15835000000001</v>
      </c>
      <c r="H26" s="181">
        <v>227.83375000000001</v>
      </c>
      <c r="I26" s="181">
        <v>221.78484999999998</v>
      </c>
      <c r="J26" s="181">
        <v>248.64355</v>
      </c>
      <c r="K26" s="181">
        <v>205.45974999999999</v>
      </c>
      <c r="L26" s="181">
        <v>198.22284999999999</v>
      </c>
    </row>
    <row r="27" spans="3:12" x14ac:dyDescent="0.2">
      <c r="C27" s="122" t="s">
        <v>222</v>
      </c>
      <c r="D27" s="181">
        <v>232.25915000000001</v>
      </c>
      <c r="E27" s="181">
        <v>222.40865000000002</v>
      </c>
      <c r="F27" s="181">
        <v>212.94425000000004</v>
      </c>
      <c r="G27" s="181">
        <v>203.28185000000002</v>
      </c>
      <c r="H27" s="181">
        <v>183.19475</v>
      </c>
      <c r="I27" s="181">
        <v>177.14585</v>
      </c>
      <c r="J27" s="181">
        <v>202.76705000000001</v>
      </c>
      <c r="K27" s="181">
        <v>160.82074999999998</v>
      </c>
      <c r="L27" s="181">
        <v>153.58385000000001</v>
      </c>
    </row>
    <row r="28" spans="3:12" x14ac:dyDescent="0.2">
      <c r="C28" s="122" t="s">
        <v>223</v>
      </c>
      <c r="D28" s="181">
        <v>215.89920000000001</v>
      </c>
      <c r="E28" s="181">
        <v>210.15719999999999</v>
      </c>
      <c r="F28" s="181">
        <v>205.10820000000001</v>
      </c>
      <c r="G28" s="181">
        <v>200.73240000000001</v>
      </c>
      <c r="H28" s="181">
        <v>194.02019999999999</v>
      </c>
      <c r="I28" s="181">
        <v>187.10999999999996</v>
      </c>
      <c r="J28" s="181">
        <v>204.78149999999999</v>
      </c>
      <c r="K28" s="181">
        <v>180.40769999999998</v>
      </c>
      <c r="L28" s="181">
        <v>169.09200000000001</v>
      </c>
    </row>
    <row r="29" spans="3:12" x14ac:dyDescent="0.2">
      <c r="C29" s="122" t="s">
        <v>224</v>
      </c>
      <c r="D29" s="181">
        <v>274.97764999999998</v>
      </c>
      <c r="E29" s="181">
        <v>265.12714999999997</v>
      </c>
      <c r="F29" s="181">
        <v>255.66274999999996</v>
      </c>
      <c r="G29" s="181">
        <v>246.00035</v>
      </c>
      <c r="H29" s="181">
        <v>225.17074999999997</v>
      </c>
      <c r="I29" s="181">
        <v>219.12184999999997</v>
      </c>
      <c r="J29" s="181">
        <v>245.48554999999999</v>
      </c>
      <c r="K29" s="181">
        <v>202.79674999999997</v>
      </c>
      <c r="L29" s="181">
        <v>195.55984999999998</v>
      </c>
    </row>
    <row r="30" spans="3:12" x14ac:dyDescent="0.2">
      <c r="C30" s="122" t="s">
        <v>225</v>
      </c>
      <c r="D30" s="181">
        <v>152.16606999999996</v>
      </c>
      <c r="E30" s="181">
        <v>144.24606999999997</v>
      </c>
      <c r="F30" s="181">
        <v>134.40536999999998</v>
      </c>
      <c r="G30" s="181">
        <v>128.89116999999999</v>
      </c>
      <c r="H30" s="181">
        <v>113.75595</v>
      </c>
      <c r="I30" s="181">
        <v>107.66755000000001</v>
      </c>
      <c r="J30" s="181">
        <v>122.32746999999999</v>
      </c>
      <c r="K30" s="181">
        <v>92.332349999999991</v>
      </c>
      <c r="L30" s="181">
        <v>85.174750000000003</v>
      </c>
    </row>
    <row r="31" spans="3:12" x14ac:dyDescent="0.2">
      <c r="C31" s="122" t="s">
        <v>226</v>
      </c>
      <c r="D31" s="181">
        <v>151.16606999999996</v>
      </c>
      <c r="E31" s="181">
        <v>143.24606999999997</v>
      </c>
      <c r="F31" s="181">
        <v>134.40536999999998</v>
      </c>
      <c r="G31" s="181">
        <v>127.89116999999999</v>
      </c>
      <c r="H31" s="181">
        <v>113.75595</v>
      </c>
      <c r="I31" s="181">
        <v>106.66755000000001</v>
      </c>
      <c r="J31" s="181">
        <v>121.32746999999999</v>
      </c>
      <c r="K31" s="181">
        <v>92.332349999999991</v>
      </c>
      <c r="L31" s="181">
        <v>84.174750000000003</v>
      </c>
    </row>
    <row r="32" spans="3:12" x14ac:dyDescent="0.2">
      <c r="C32" s="122" t="s">
        <v>227</v>
      </c>
      <c r="D32" s="181">
        <v>117.64665000000001</v>
      </c>
      <c r="E32" s="181">
        <v>110.71665</v>
      </c>
      <c r="F32" s="181">
        <v>103.00454999999998</v>
      </c>
      <c r="G32" s="181">
        <v>98.579249999999988</v>
      </c>
      <c r="H32" s="181">
        <v>87.788249999999977</v>
      </c>
      <c r="I32" s="181">
        <v>82.016549999999995</v>
      </c>
      <c r="J32" s="181">
        <v>93.827250000000006</v>
      </c>
      <c r="K32" s="181">
        <v>69.493049999999997</v>
      </c>
      <c r="L32" s="181">
        <v>66.19635000000001</v>
      </c>
    </row>
    <row r="33" spans="3:12" x14ac:dyDescent="0.2">
      <c r="C33" s="122" t="s">
        <v>228</v>
      </c>
      <c r="D33" s="115">
        <f>+D32/2</f>
        <v>58.823325000000004</v>
      </c>
      <c r="E33" s="115">
        <f t="shared" ref="E33:L33" si="0">+E32/2</f>
        <v>55.358325000000001</v>
      </c>
      <c r="F33" s="115">
        <f t="shared" si="0"/>
        <v>51.50227499999999</v>
      </c>
      <c r="G33" s="115">
        <f t="shared" si="0"/>
        <v>49.289624999999994</v>
      </c>
      <c r="H33" s="115">
        <f t="shared" si="0"/>
        <v>43.894124999999988</v>
      </c>
      <c r="I33" s="115">
        <f t="shared" si="0"/>
        <v>41.008274999999998</v>
      </c>
      <c r="J33" s="115">
        <f t="shared" si="0"/>
        <v>46.913625000000003</v>
      </c>
      <c r="K33" s="115">
        <f t="shared" si="0"/>
        <v>34.746524999999998</v>
      </c>
      <c r="L33" s="115">
        <f t="shared" si="0"/>
        <v>33.098175000000005</v>
      </c>
    </row>
    <row r="34" spans="3:12" x14ac:dyDescent="0.2">
      <c r="C34" s="86"/>
      <c r="D34" s="86"/>
      <c r="E34" s="86"/>
      <c r="F34" s="86"/>
      <c r="G34" s="86"/>
      <c r="H34" s="86"/>
      <c r="I34" s="86"/>
      <c r="J34" s="86"/>
      <c r="K34" s="86"/>
      <c r="L34" s="86"/>
    </row>
    <row r="35" spans="3:12" x14ac:dyDescent="0.2">
      <c r="C35" s="86"/>
      <c r="D35" s="86"/>
      <c r="E35" s="86"/>
      <c r="F35" s="86"/>
      <c r="G35" s="86"/>
      <c r="H35" s="86"/>
      <c r="I35" s="86"/>
      <c r="J35" s="86"/>
      <c r="K35" s="86"/>
      <c r="L35" s="86"/>
    </row>
    <row r="36" spans="3:12" x14ac:dyDescent="0.2">
      <c r="C36" s="116" t="s">
        <v>188</v>
      </c>
      <c r="D36" s="86"/>
      <c r="E36" s="86"/>
      <c r="F36" s="86"/>
      <c r="G36" s="86"/>
      <c r="H36" s="86"/>
      <c r="I36" s="86"/>
      <c r="J36" s="86"/>
      <c r="K36" s="86"/>
      <c r="L36" s="86"/>
    </row>
    <row r="37" spans="3:12" x14ac:dyDescent="0.2">
      <c r="C37" s="116" t="s">
        <v>46</v>
      </c>
      <c r="D37" s="86"/>
      <c r="E37" s="86"/>
      <c r="F37" s="86"/>
      <c r="G37" s="86"/>
      <c r="H37" s="86"/>
      <c r="I37" s="86"/>
      <c r="J37" s="86"/>
      <c r="K37" s="86"/>
      <c r="L37" s="86"/>
    </row>
    <row r="38" spans="3:12" x14ac:dyDescent="0.2">
      <c r="C38" s="86"/>
      <c r="D38" s="86"/>
      <c r="E38" s="86"/>
      <c r="F38" s="86"/>
      <c r="G38" s="86"/>
      <c r="H38" s="86"/>
      <c r="I38" s="86"/>
      <c r="J38" s="86"/>
      <c r="K38" s="86"/>
      <c r="L38" s="86"/>
    </row>
    <row r="39" spans="3:12" x14ac:dyDescent="0.2">
      <c r="C39" s="117" t="s">
        <v>229</v>
      </c>
      <c r="D39" s="117" t="s">
        <v>230</v>
      </c>
      <c r="E39" s="114" t="s">
        <v>231</v>
      </c>
      <c r="F39" s="114" t="s">
        <v>232</v>
      </c>
      <c r="G39" s="86"/>
      <c r="H39" s="86"/>
      <c r="I39" s="86"/>
      <c r="J39" s="86"/>
      <c r="K39" s="86"/>
      <c r="L39" s="86"/>
    </row>
    <row r="40" spans="3:12" x14ac:dyDescent="0.2">
      <c r="C40" s="114" t="s">
        <v>233</v>
      </c>
      <c r="D40" s="118">
        <v>1.23</v>
      </c>
      <c r="E40" s="118">
        <v>0.61</v>
      </c>
      <c r="F40" s="114">
        <f>'CONST. EXCISE TAX'!D10*'Formula Data'!D40+'CONST. EXCISE TAX'!D14*'Formula Data'!E40</f>
        <v>0</v>
      </c>
      <c r="G40" s="86"/>
      <c r="H40" s="86"/>
      <c r="I40" s="86"/>
      <c r="J40" s="86"/>
      <c r="K40" s="86"/>
      <c r="L40" s="86"/>
    </row>
    <row r="41" spans="3:12" x14ac:dyDescent="0.2">
      <c r="C41" s="114" t="s">
        <v>234</v>
      </c>
      <c r="D41" s="118">
        <v>1.05</v>
      </c>
      <c r="E41" s="118">
        <v>0.53</v>
      </c>
      <c r="F41" s="114">
        <f>'CONST. EXCISE TAX'!D10*'Formula Data'!D41+'CONST. EXCISE TAX'!D14*'Formula Data'!E41</f>
        <v>0</v>
      </c>
      <c r="G41" s="86"/>
      <c r="H41" s="86"/>
      <c r="I41" s="86"/>
      <c r="J41" s="86"/>
      <c r="K41" s="86"/>
      <c r="L41" s="86"/>
    </row>
    <row r="42" spans="3:12" x14ac:dyDescent="0.2">
      <c r="C42" s="114" t="s">
        <v>235</v>
      </c>
      <c r="D42" s="119">
        <v>1.23</v>
      </c>
      <c r="E42" s="119">
        <v>0.61</v>
      </c>
      <c r="F42" s="114">
        <f>'CONST. EXCISE TAX'!D10*'Formula Data'!D42+'CONST. EXCISE TAX'!D14*'Formula Data'!E42</f>
        <v>0</v>
      </c>
      <c r="G42" s="86"/>
      <c r="H42" s="86"/>
      <c r="I42" s="86"/>
      <c r="J42" s="86"/>
      <c r="K42" s="86"/>
      <c r="L42" s="86"/>
    </row>
    <row r="43" spans="3:12" x14ac:dyDescent="0.2">
      <c r="C43" s="114" t="s">
        <v>236</v>
      </c>
      <c r="D43" s="119">
        <v>1.26</v>
      </c>
      <c r="E43" s="119">
        <v>0.63</v>
      </c>
      <c r="F43" s="114">
        <f>'CONST. EXCISE TAX'!D10*'Formula Data'!D43+'CONST. EXCISE TAX'!D14*'Formula Data'!E43</f>
        <v>0</v>
      </c>
      <c r="G43" s="86"/>
      <c r="H43" s="86"/>
      <c r="I43" s="86"/>
      <c r="J43" s="86"/>
      <c r="K43" s="86"/>
      <c r="L43" s="86"/>
    </row>
    <row r="44" spans="3:12" x14ac:dyDescent="0.2">
      <c r="C44" s="114" t="s">
        <v>237</v>
      </c>
      <c r="D44" s="118">
        <v>1.05</v>
      </c>
      <c r="E44" s="118">
        <v>0.53</v>
      </c>
      <c r="F44" s="114">
        <f>'CONST. EXCISE TAX'!D10*'Formula Data'!D44+'CONST. EXCISE TAX'!D14*'Formula Data'!E44</f>
        <v>0</v>
      </c>
      <c r="G44" s="86"/>
      <c r="H44" s="86"/>
      <c r="I44" s="86"/>
      <c r="J44" s="86"/>
      <c r="K44" s="86"/>
      <c r="L44" s="86"/>
    </row>
    <row r="45" spans="3:12" x14ac:dyDescent="0.2">
      <c r="C45" s="114" t="s">
        <v>238</v>
      </c>
      <c r="D45" s="118">
        <v>1.05</v>
      </c>
      <c r="E45" s="118">
        <v>0.53</v>
      </c>
      <c r="F45" s="114">
        <f>'CONST. EXCISE TAX'!D10*'Formula Data'!D45+'CONST. EXCISE TAX'!D14*'Formula Data'!E45</f>
        <v>0</v>
      </c>
      <c r="G45" s="86"/>
      <c r="H45" s="86"/>
      <c r="I45" s="86"/>
      <c r="J45" s="86"/>
      <c r="K45" s="86"/>
      <c r="L45" s="86"/>
    </row>
    <row r="46" spans="3:12" x14ac:dyDescent="0.2">
      <c r="C46" s="116" t="s">
        <v>245</v>
      </c>
      <c r="D46" s="118">
        <v>1.05</v>
      </c>
      <c r="E46" s="118">
        <v>0.53</v>
      </c>
      <c r="F46" s="114">
        <f>'CONST. EXCISE TAX'!D10*'Formula Data'!D46+'CONST. EXCISE TAX'!D14*'Formula Data'!E46</f>
        <v>0</v>
      </c>
      <c r="G46" s="86"/>
      <c r="H46" s="86"/>
      <c r="I46" s="86"/>
      <c r="J46" s="86"/>
      <c r="K46" s="86"/>
      <c r="L46" s="86"/>
    </row>
    <row r="47" spans="3:12" x14ac:dyDescent="0.2">
      <c r="C47" s="114" t="s">
        <v>239</v>
      </c>
      <c r="D47" s="118">
        <v>1.05</v>
      </c>
      <c r="E47" s="118">
        <v>0.53</v>
      </c>
      <c r="F47" s="114">
        <f>'CONST. EXCISE TAX'!D10*'Formula Data'!D47+'CONST. EXCISE TAX'!D14*'Formula Data'!E47</f>
        <v>0</v>
      </c>
      <c r="G47" s="86"/>
      <c r="H47" s="86"/>
      <c r="I47" s="86"/>
      <c r="J47" s="86"/>
      <c r="K47" s="86"/>
      <c r="L47" s="86"/>
    </row>
    <row r="48" spans="3:12" x14ac:dyDescent="0.2">
      <c r="C48" s="114" t="s">
        <v>240</v>
      </c>
      <c r="D48" s="119">
        <v>1.35</v>
      </c>
      <c r="E48" s="119">
        <v>0.67</v>
      </c>
      <c r="F48" s="114">
        <f>'CONST. EXCISE TAX'!D10*'Formula Data'!D48+'CONST. EXCISE TAX'!D14*'Formula Data'!E48</f>
        <v>0</v>
      </c>
      <c r="G48" s="86"/>
      <c r="H48" s="86"/>
      <c r="I48" s="86"/>
      <c r="J48" s="86"/>
      <c r="K48" s="86"/>
      <c r="L48" s="86"/>
    </row>
    <row r="49" spans="3:12" x14ac:dyDescent="0.2">
      <c r="C49" s="114" t="s">
        <v>241</v>
      </c>
      <c r="D49" s="118">
        <v>1.26</v>
      </c>
      <c r="E49" s="118">
        <v>0.63</v>
      </c>
      <c r="F49" s="114">
        <f>'CONST. EXCISE TAX'!D10*'Formula Data'!D49+'CONST. EXCISE TAX'!D14*'Formula Data'!E49</f>
        <v>0</v>
      </c>
      <c r="G49" s="86"/>
      <c r="H49" s="86"/>
      <c r="I49" s="86"/>
      <c r="J49" s="86"/>
      <c r="K49" s="86"/>
      <c r="L49" s="86"/>
    </row>
    <row r="50" spans="3:12" x14ac:dyDescent="0.2">
      <c r="C50" s="116" t="s">
        <v>80</v>
      </c>
      <c r="D50" s="120">
        <v>0</v>
      </c>
      <c r="E50" s="121">
        <v>0</v>
      </c>
      <c r="F50" s="114">
        <f>'CONST. EXCISE TAX'!D10*'Formula Data'!D50+'CONST. EXCISE TAX'!D14*'Formula Data'!E50</f>
        <v>0</v>
      </c>
      <c r="G50" s="86"/>
      <c r="H50" s="86"/>
      <c r="I50" s="86"/>
      <c r="J50" s="86"/>
      <c r="K50" s="86"/>
      <c r="L50" s="86"/>
    </row>
  </sheetData>
  <mergeCells count="1">
    <mergeCell ref="D4:L4"/>
  </mergeCells>
  <pageMargins left="0.7" right="0.7" top="0.75" bottom="0.75" header="0.3" footer="0.3"/>
  <pageSetup scale="52"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TOTAL FEES</vt:lpstr>
      <vt:lpstr>STRUCTURAL</vt:lpstr>
      <vt:lpstr>MECHANICAL</vt:lpstr>
      <vt:lpstr>PLUMBING</vt:lpstr>
      <vt:lpstr>ELECTRICAL</vt:lpstr>
      <vt:lpstr>SANITATION</vt:lpstr>
      <vt:lpstr>LAND USE REVIEW</vt:lpstr>
      <vt:lpstr>CONST. EXCISE TAX</vt:lpstr>
      <vt:lpstr>Formula Dat</vt:lpstr>
      <vt:lpstr>Formula Data</vt:lpstr>
      <vt:lpstr>CET_Districts</vt:lpstr>
      <vt:lpstr>CETDistricts</vt:lpstr>
      <vt:lpstr>ConstTypes</vt:lpstr>
      <vt:lpstr>STRUCTURAL!Print_Area</vt:lpstr>
      <vt:lpstr>'TOTAL FEES'!Print_Area</vt:lpstr>
      <vt:lpstr>SETDistricts</vt:lpstr>
      <vt:lpstr>MECHANICAL!Text66</vt:lpstr>
      <vt:lpstr>UseDesignations</vt:lpstr>
      <vt:lpstr>YesNo</vt:lpstr>
    </vt:vector>
  </TitlesOfParts>
  <Company>Lane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Lane County</dc:creator>
  <cp:lastModifiedBy>GRYZIEC Jessica M</cp:lastModifiedBy>
  <cp:lastPrinted>2023-09-11T17:18:32Z</cp:lastPrinted>
  <dcterms:created xsi:type="dcterms:W3CDTF">2012-07-25T15:20:56Z</dcterms:created>
  <dcterms:modified xsi:type="dcterms:W3CDTF">2025-04-09T22:59:00Z</dcterms:modified>
</cp:coreProperties>
</file>